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7995" activeTab="0"/>
  </bookViews>
  <sheets>
    <sheet name="Start" sheetId="1" r:id="rId1"/>
    <sheet name="Input" sheetId="2" r:id="rId2"/>
    <sheet name="Output" sheetId="3" r:id="rId3"/>
  </sheets>
  <definedNames>
    <definedName name="_xlnm.Print_Area" localSheetId="1">'Input'!$A$1:$P$52</definedName>
    <definedName name="_xlnm.Print_Area" localSheetId="2">'Output'!$A$1:$AB$209</definedName>
  </definedNames>
  <calcPr fullCalcOnLoad="1"/>
</workbook>
</file>

<file path=xl/comments2.xml><?xml version="1.0" encoding="utf-8"?>
<comments xmlns="http://schemas.openxmlformats.org/spreadsheetml/2006/main">
  <authors>
    <author>lw</author>
    <author>Lonneke Wielders</author>
    <author>agte0001</author>
  </authors>
  <commentList>
    <comment ref="E12" authorId="0">
      <text>
        <r>
          <rPr>
            <sz val="8"/>
            <rFont val="Tahoma"/>
            <family val="0"/>
          </rPr>
          <t xml:space="preserve">Denk hierbij bijvoorbeeld aan discontiniuteit tussen zomer-winter of dag-nacht. </t>
        </r>
      </text>
    </comment>
    <comment ref="E17" authorId="0">
      <text>
        <r>
          <rPr>
            <sz val="8"/>
            <rFont val="Tahoma"/>
            <family val="2"/>
          </rPr>
          <t>Denk hier aan proceswarmte maar ook aan toepassingen voor ruimteverwarming</t>
        </r>
        <r>
          <rPr>
            <sz val="8"/>
            <rFont val="Tahoma"/>
            <family val="0"/>
          </rPr>
          <t xml:space="preserve">
</t>
        </r>
      </text>
    </comment>
    <comment ref="E20" authorId="0">
      <text>
        <r>
          <rPr>
            <sz val="8"/>
            <rFont val="Tahoma"/>
            <family val="0"/>
          </rPr>
          <t xml:space="preserve">Gebruik indien nodig de omrekentabel MW --&gt; GJ of de hulprekentool
</t>
        </r>
      </text>
    </comment>
    <comment ref="E26" authorId="0">
      <text>
        <r>
          <rPr>
            <sz val="8"/>
            <rFont val="Tahoma"/>
            <family val="2"/>
          </rPr>
          <t>Gebruik indien nodig de omrekentabel MW --&gt; GJ of de hulprekentool</t>
        </r>
      </text>
    </comment>
    <comment ref="E31" authorId="1">
      <text>
        <r>
          <rPr>
            <sz val="8"/>
            <rFont val="Tahoma"/>
            <family val="0"/>
          </rPr>
          <t xml:space="preserve">Gebruik indien nog de tabel met de parameters voor 1 huishouden of aardgasvraag
</t>
        </r>
      </text>
    </comment>
    <comment ref="E23" authorId="2">
      <text>
        <r>
          <rPr>
            <sz val="8"/>
            <rFont val="Tahoma"/>
            <family val="0"/>
          </rPr>
          <t>Met bedrijf wordt hier bedoeld een ander industriëel bedrijf. Diensten-bedrijven in utiliteitsgebouwen kunnen ingevuld bij B3.</t>
        </r>
      </text>
    </comment>
    <comment ref="E29" authorId="2">
      <text>
        <r>
          <rPr>
            <sz val="8"/>
            <rFont val="Tahoma"/>
            <family val="2"/>
          </rPr>
          <t>Bijvoorbeeld woningen, of utiliteitsgebouwen zoals kantoren.</t>
        </r>
      </text>
    </comment>
  </commentList>
</comments>
</file>

<file path=xl/comments3.xml><?xml version="1.0" encoding="utf-8"?>
<comments xmlns="http://schemas.openxmlformats.org/spreadsheetml/2006/main">
  <authors>
    <author>agte0001</author>
  </authors>
  <commentList>
    <comment ref="B24" authorId="0">
      <text>
        <r>
          <rPr>
            <sz val="8"/>
            <rFont val="Tahoma"/>
            <family val="0"/>
          </rPr>
          <t>Indien een optie groen scoort is het zinvol hier nader onderzoek naar te doen.</t>
        </r>
      </text>
    </comment>
  </commentList>
</comments>
</file>

<file path=xl/sharedStrings.xml><?xml version="1.0" encoding="utf-8"?>
<sst xmlns="http://schemas.openxmlformats.org/spreadsheetml/2006/main" count="728" uniqueCount="330">
  <si>
    <t>3.</t>
  </si>
  <si>
    <t>4.</t>
  </si>
  <si>
    <t>1.</t>
  </si>
  <si>
    <t>2.</t>
  </si>
  <si>
    <t>5.</t>
  </si>
  <si>
    <t>Wat is de omvang van het warmteaanbod?</t>
  </si>
  <si>
    <t>6.</t>
  </si>
  <si>
    <t>nee</t>
  </si>
  <si>
    <t>ja</t>
  </si>
  <si>
    <t>niet bekend</t>
  </si>
  <si>
    <t>Grond en gebouw is in eigen beheer</t>
  </si>
  <si>
    <t>Aanleg transportnet en distributienet</t>
  </si>
  <si>
    <t>nvt</t>
  </si>
  <si>
    <t>ja, op bedrijfsterrein</t>
  </si>
  <si>
    <t>ja, naar woonwijk</t>
  </si>
  <si>
    <t>0 - 2.500 GJ/jaar</t>
  </si>
  <si>
    <t>2.501 - 25.000 GJ/jaar</t>
  </si>
  <si>
    <t>25.001 - 250.000 GJ/jaar</t>
  </si>
  <si>
    <t>&gt; 250.000 GJ/jaar</t>
  </si>
  <si>
    <t>…</t>
  </si>
  <si>
    <t>Aansluiting op reeds aanwezig warmtenet</t>
  </si>
  <si>
    <t>5-15 jaar</t>
  </si>
  <si>
    <t>&gt; 15 jaar</t>
  </si>
  <si>
    <t>0-5 jaar</t>
  </si>
  <si>
    <t>*:01</t>
  </si>
  <si>
    <t>*:02</t>
  </si>
  <si>
    <t>*:03</t>
  </si>
  <si>
    <t>*:05</t>
  </si>
  <si>
    <t>*:04</t>
  </si>
  <si>
    <t>1:**</t>
  </si>
  <si>
    <t>2:**</t>
  </si>
  <si>
    <t>3:**</t>
  </si>
  <si>
    <t>Oranje</t>
  </si>
  <si>
    <t>Rood</t>
  </si>
  <si>
    <t>C28 = 0-5 jaar</t>
  </si>
  <si>
    <t>C28 = niet bekend</t>
  </si>
  <si>
    <t>C36 = 0-5 jaar</t>
  </si>
  <si>
    <t>C36 = niet bekend</t>
  </si>
  <si>
    <t>C35 = niet bekend</t>
  </si>
  <si>
    <t>of</t>
  </si>
  <si>
    <t>C29 = 0 - 2.500 GJ/jaar</t>
  </si>
  <si>
    <t>en</t>
  </si>
  <si>
    <t>C38 = 2.501 - 25.000 GJ/jaar</t>
  </si>
  <si>
    <t>C38 = 25.001 - 250.000 GJ/jaar</t>
  </si>
  <si>
    <t>C29 = 2.501 - 25.000 GJ/jaar</t>
  </si>
  <si>
    <t>C29 = niet bekend</t>
  </si>
  <si>
    <t>C30 = niet bekend</t>
  </si>
  <si>
    <t>C38 = niet bekend</t>
  </si>
  <si>
    <t>C39 = niet bekend</t>
  </si>
  <si>
    <t>C33 = ja</t>
  </si>
  <si>
    <t>C37 = ja</t>
  </si>
  <si>
    <t>C33 = niet bekend</t>
  </si>
  <si>
    <t>C37 = niet bekend</t>
  </si>
  <si>
    <t>C53 = nee</t>
  </si>
  <si>
    <t>C53 = niet bekend</t>
  </si>
  <si>
    <t>C42 = 0-5 jaar</t>
  </si>
  <si>
    <t>C42 = niet bekend</t>
  </si>
  <si>
    <t>C41 = niet bekend</t>
  </si>
  <si>
    <t>C41 = nee</t>
  </si>
  <si>
    <t>C44 = 2.501 - 25.000 GJ/jaar</t>
  </si>
  <si>
    <t>C44 = 25.001 - 250.000 GJ/jaar</t>
  </si>
  <si>
    <t>C44 = niet bekend</t>
  </si>
  <si>
    <t>C45 = niet bekend</t>
  </si>
  <si>
    <t>C43 = ja</t>
  </si>
  <si>
    <t>C43 = niet bekend</t>
  </si>
  <si>
    <t>C55 = niet bekend</t>
  </si>
  <si>
    <t>C44 = 0 - 2.500 GJ/jaar</t>
  </si>
  <si>
    <t>C57 = ja</t>
  </si>
  <si>
    <t>C56 = niet bekend</t>
  </si>
  <si>
    <t>C57 = niet bekend</t>
  </si>
  <si>
    <t>C48 = 0-5 jaar</t>
  </si>
  <si>
    <t>C48 = niet bekend</t>
  </si>
  <si>
    <t>C47 = niet bekend</t>
  </si>
  <si>
    <t>C50 = 2.501 - 25.000 GJ/jaar</t>
  </si>
  <si>
    <t>C50 = 25.001 - 250.000 GJ/jaar</t>
  </si>
  <si>
    <t>C50 = niet bekend</t>
  </si>
  <si>
    <t>C51 = niet bekend</t>
  </si>
  <si>
    <t>C62 = nee</t>
  </si>
  <si>
    <t>C62 = niet bekend</t>
  </si>
  <si>
    <t>C50 = 0 - 2.500 GJ/jaar</t>
  </si>
  <si>
    <t>C61 = ja</t>
  </si>
  <si>
    <t>C60 = niet bekend</t>
  </si>
  <si>
    <t>C61 = niet bekend</t>
  </si>
  <si>
    <t>score</t>
  </si>
  <si>
    <t>VERBERGEN</t>
  </si>
  <si>
    <t>BLAD BEVEILIGEN</t>
  </si>
  <si>
    <t>BLAD BEVEILIGEN M.U.V. KOLOM E</t>
  </si>
  <si>
    <t>C47 = nee</t>
  </si>
  <si>
    <t>C38 = &gt; 250.000 GJ/jaar</t>
  </si>
  <si>
    <t>C44 = &gt; 250.000 GJ/jaar</t>
  </si>
  <si>
    <t>C50 = &gt; 250.000 GJ/jaar</t>
  </si>
  <si>
    <t>De vraag is &gt; een factor 10 groter dan het aanbod, de investering is zeer waarschijnlijk niet rendabel</t>
  </si>
  <si>
    <t>De vraag is &gt; een factor 100 groter dan het aanbod, de investering is zeer waarschijnlijk niet rendabel</t>
  </si>
  <si>
    <t>Het is niet bekend wat de omvang van het aanbod is, dit is een belangrijke parameter</t>
  </si>
  <si>
    <t>Het is niet bekend wat de temperatuur van het aanbod is, dit is een belangrijke parameter</t>
  </si>
  <si>
    <t>Het is niet bekend wat de omvang van de vraag is, dit is een belangrijke parameter</t>
  </si>
  <si>
    <t>Het is niet bekend wat de temperatuur van de vraag is, dit is een belangrijke parameter</t>
  </si>
  <si>
    <t>C31 = ja</t>
  </si>
  <si>
    <t>Is er een warmtenet aanwezig waarop de bron aangesloten kan worden?</t>
  </si>
  <si>
    <t>Zitten er grote schommelingen in de continuiteit van de warmtevraag?</t>
  </si>
  <si>
    <t>Wat is de omvang van de warmtevraag?</t>
  </si>
  <si>
    <t>De vraag is groter dan het aanbod, bekijk goed of de investering niet te hoog wordt</t>
  </si>
  <si>
    <t>1-3 km</t>
  </si>
  <si>
    <t>C56 = 1-3 km</t>
  </si>
  <si>
    <t>Opm. Deze regel niet verwijderd ivm vele verwijzigen</t>
  </si>
  <si>
    <t>C60 = 1-3 km</t>
  </si>
  <si>
    <t>Is er sprake van enkel woningen, enkel utiliteit of beide?</t>
  </si>
  <si>
    <t>woningen</t>
  </si>
  <si>
    <t>utiliteit</t>
  </si>
  <si>
    <t>beide</t>
  </si>
  <si>
    <t>C63 = niet bekend</t>
  </si>
  <si>
    <t>C64 = niet bekend</t>
  </si>
  <si>
    <t>Businesscase uitwerken</t>
  </si>
  <si>
    <t>C31 = nee</t>
  </si>
  <si>
    <t>C32 = nee</t>
  </si>
  <si>
    <t>Het is niet bekend wat de transportafstand is, dit is een belangrijke parameter</t>
  </si>
  <si>
    <t>Het is niet bekend of er "kunstwerken" aangelegd moeten worden, dit is een belangrijke parameter</t>
  </si>
  <si>
    <t>1:02a</t>
  </si>
  <si>
    <t>1:02b</t>
  </si>
  <si>
    <t>2:02a</t>
  </si>
  <si>
    <t>2:02b</t>
  </si>
  <si>
    <t>3:02a</t>
  </si>
  <si>
    <t>3:02b</t>
  </si>
  <si>
    <t>1:01b</t>
  </si>
  <si>
    <t>Aanwezige infrastructuur</t>
  </si>
  <si>
    <t>C32 = ja, op bedrijfsterrein</t>
  </si>
  <si>
    <t>C32 = ja, naar woonwijk</t>
  </si>
  <si>
    <t>1:01a</t>
  </si>
  <si>
    <t>2:01a</t>
  </si>
  <si>
    <t>2:01b</t>
  </si>
  <si>
    <t>3:01a</t>
  </si>
  <si>
    <t>3:01b</t>
  </si>
  <si>
    <t>Match warmtebron en warmtevraag</t>
  </si>
  <si>
    <t>Match warmtebron en warmtevraag qua omvang</t>
  </si>
  <si>
    <t>Overige warmtebronnen in de buurt</t>
  </si>
  <si>
    <t>Zitten er grote schommelingen in de continuiteit van het warmteaanbod?</t>
  </si>
  <si>
    <t>Hoeveel bedraagt het aantal woningen / ha? (bij woningen)</t>
  </si>
  <si>
    <t>&gt; 90 C</t>
  </si>
  <si>
    <t>60-90 C</t>
  </si>
  <si>
    <t>&lt; 60 C</t>
  </si>
  <si>
    <t>C30 = 60-90 C</t>
  </si>
  <si>
    <t>C39 = &gt; 90 C</t>
  </si>
  <si>
    <t>C30 = &gt; 90 C</t>
  </si>
  <si>
    <t>C39 = &lt; 60 C</t>
  </si>
  <si>
    <t>C30 = &lt; 60 C</t>
  </si>
  <si>
    <t>C39 = 60-90 C</t>
  </si>
  <si>
    <t>C45 = &gt; 90 C</t>
  </si>
  <si>
    <t>C51 = &gt; 90 C</t>
  </si>
  <si>
    <t>C45 = 60-90 C</t>
  </si>
  <si>
    <t>C51 = 60-90 C</t>
  </si>
  <si>
    <t>De vraag is &gt; 90 C en het aanbod is 60-90 C, bekijk goed of de investering niet te hoog wordt</t>
  </si>
  <si>
    <t>C45 = &lt; 60 C</t>
  </si>
  <si>
    <t>C51 = &lt; 60 C</t>
  </si>
  <si>
    <t>De vraag is &gt; 90 C en het aanbod is &lt; 60 C, de investering is zeer waarschijnlijk niet rendabel</t>
  </si>
  <si>
    <t>De vraag is &lt; 60 C en het aanbod is &gt; 90 C, bekijk goed of de investering niet te hoog wordt</t>
  </si>
  <si>
    <t>De vraag is 60-90 C en het aanbod is &lt; 60 C, bekijk goed of de investering niet te hoog wordt</t>
  </si>
  <si>
    <t>2:07a</t>
  </si>
  <si>
    <t>2:07b</t>
  </si>
  <si>
    <t>3:07a</t>
  </si>
  <si>
    <t>3:08a</t>
  </si>
  <si>
    <t>3:08b</t>
  </si>
  <si>
    <t>Aanleg transportnet qua omvang</t>
  </si>
  <si>
    <t>Aanleg transportnet, fysieke mogelijkheden</t>
  </si>
  <si>
    <t>Aanleg distributienet (woningequivalenten)</t>
  </si>
  <si>
    <t>Aanleg distributienet (woningen)</t>
  </si>
  <si>
    <t>Het is niet bekend wat het aantal woningen is, dit is een belangrijke parameter</t>
  </si>
  <si>
    <t>Het is niet bekend wat het aantal woningenequivalenten is, dit is een belangrijke parameter</t>
  </si>
  <si>
    <t>0-300 m</t>
  </si>
  <si>
    <t>&gt; 3 km</t>
  </si>
  <si>
    <t xml:space="preserve">Moeten er boven- of ondergrondse obstakels overbrugd/doorkruist worden ('kunstwerken')? </t>
  </si>
  <si>
    <t>Is er een warmtevraag in (nabijgelegen) gebouwde omgeving?</t>
  </si>
  <si>
    <t>A. Blok: typologieen warmtebron</t>
  </si>
  <si>
    <t>B: Blok: typologieen warmtevraag</t>
  </si>
  <si>
    <t>C: Blok: transportnet en distributienet</t>
  </si>
  <si>
    <t>7.</t>
  </si>
  <si>
    <t>8.</t>
  </si>
  <si>
    <t>9.</t>
  </si>
  <si>
    <t>10.</t>
  </si>
  <si>
    <t>11.</t>
  </si>
  <si>
    <t>12.</t>
  </si>
  <si>
    <t>13.</t>
  </si>
  <si>
    <t>14.</t>
  </si>
  <si>
    <t>15.</t>
  </si>
  <si>
    <t>17.</t>
  </si>
  <si>
    <t>16.</t>
  </si>
  <si>
    <t>18.</t>
  </si>
  <si>
    <t>19.</t>
  </si>
  <si>
    <t>20.</t>
  </si>
  <si>
    <t>21.</t>
  </si>
  <si>
    <t>22.</t>
  </si>
  <si>
    <t>23.</t>
  </si>
  <si>
    <t>24.</t>
  </si>
  <si>
    <t>25.</t>
  </si>
  <si>
    <t>26.</t>
  </si>
  <si>
    <t>27.</t>
  </si>
  <si>
    <t>28.</t>
  </si>
  <si>
    <t>29.</t>
  </si>
  <si>
    <t>30.</t>
  </si>
  <si>
    <t>31.</t>
  </si>
  <si>
    <t>Voor hoeveel jaar is warmtelevering van deze bron mogelijk?</t>
  </si>
  <si>
    <t>B.1 Terugwinning van restwarmte</t>
  </si>
  <si>
    <t>Voor hoeveel jaar doet zich een warmtevraag voor?</t>
  </si>
  <si>
    <t>B.2 Levering aan een ander bedrijf</t>
  </si>
  <si>
    <t>C.1 Terugwinning van restwarmte (transportnet)</t>
  </si>
  <si>
    <t>C.2 Levering aan een ander bedrijf (transportnet)</t>
  </si>
  <si>
    <t>Niet van toepassing, maar let wel op dat er geen kansen blijven liggen</t>
  </si>
  <si>
    <t xml:space="preserve">- </t>
  </si>
  <si>
    <t>-</t>
  </si>
  <si>
    <t xml:space="preserve">C56 = &gt; 3 km </t>
  </si>
  <si>
    <t>300 m-1 km</t>
  </si>
  <si>
    <t>C56 = 300 m-1 km</t>
  </si>
  <si>
    <t>C56 = &gt; 3 km</t>
  </si>
  <si>
    <t xml:space="preserve">C60 = &gt; 3 km </t>
  </si>
  <si>
    <t>C60 = 300 m-1 km</t>
  </si>
  <si>
    <t>C60 = &gt; 3 km</t>
  </si>
  <si>
    <t xml:space="preserve">Parameters   </t>
  </si>
  <si>
    <t xml:space="preserve">1 Huishouden   </t>
  </si>
  <si>
    <t xml:space="preserve">1 m3 aardgas   </t>
  </si>
  <si>
    <t>Eenheid</t>
  </si>
  <si>
    <t>later te kiezen</t>
  </si>
  <si>
    <t>De vraag is een factor 10 groter dan het aanbod, de investering is zeer waarschijnlijk niet rendabel</t>
  </si>
  <si>
    <t>De vraag is een factor 100 groter dan het aanbod, de investering is zeer waarschijnlijk niet rendabel</t>
  </si>
  <si>
    <t>Het is niet bekend of er grote schommelingen in het aanbod zitten, dit is een belangrijke parameter</t>
  </si>
  <si>
    <t>Het is niet bekend of er grote schommelingen in de vraag zitten, dit is een belangrijke parameter</t>
  </si>
  <si>
    <t>Bekijk goed of de aanwezige infrastructuur benut kan worden, dit kan kosten besparen</t>
  </si>
  <si>
    <t>Het is niet bekend voor hoeveel jaar levering mogelijk is, dit is een belangrijke parameter</t>
  </si>
  <si>
    <t>Het is niet bekend voor hoeveel jaar de warmte afgenomen kan worden, dit is een belangrijke parameter</t>
  </si>
  <si>
    <t>Er zitten grote schommelingen in het aanbod, de omvang van de benodigde bijstook kan hierdoor hoog zijn</t>
  </si>
  <si>
    <t xml:space="preserve">De vraag is maar voor een beperkt aantal jaar aanwezig, de investering is zeer waarschijnlijk niet rendabel </t>
  </si>
  <si>
    <t>De vraag is maar voor een beperkt aantal jaar aanwezig, bekijk goed of de investering niet te hoog wordt</t>
  </si>
  <si>
    <t>De levering is maar voor een beperkt aantal jaar mogelijk, bekijk goed of de investering niet te hoog wordt</t>
  </si>
  <si>
    <t xml:space="preserve">De levering is maar voor een beperkt aantal jaar mogelijk, de investering is zeer waarschijnlijk niet rendabel </t>
  </si>
  <si>
    <t>Er zijn alternatieve bronnen in de buurt, door combineren kan de leveringszekerheid worden vergroot</t>
  </si>
  <si>
    <t>De transportafstand is groot, maar door de omvang van de vraag kan de case toch interessant zijn</t>
  </si>
  <si>
    <t>De vraag is laag, maar door de redelijk korte transportafstand kan de case toch interessant zijn</t>
  </si>
  <si>
    <t xml:space="preserve">De transportafstand is groot, maar door het aantal woningen kan de case toch interessant zijn </t>
  </si>
  <si>
    <t xml:space="preserve">De transportafstand is groot, maar door het aantal woningequivalenten kan de case toch interessant zijn </t>
  </si>
  <si>
    <t>Match warmtebron en warmtevraag qua temperatuur</t>
  </si>
  <si>
    <t>Het is niet bekend of levering aan een ander bedrijf van toepassing is, dit is een belangrijke parameter</t>
  </si>
  <si>
    <t>Het is niet bekend of levering aan de gebouwde omgeving van toepassing is, dit is een belangrijke parameter</t>
  </si>
  <si>
    <t>Terugwinning van restwarmte</t>
  </si>
  <si>
    <t>Levering aan een ander bedrijf</t>
  </si>
  <si>
    <t>Het bedrijf kan niet vrij over zijn bedrijfspand/perceel beschikken, er kan sprake zijn van "split incentives"</t>
  </si>
  <si>
    <t>Leveringsduur</t>
  </si>
  <si>
    <t>Het is niet bekend of terugwinning van restwarmte van toepassing is, dit is een belangrijke parameter</t>
  </si>
  <si>
    <t>Levering aan de gebouwde omgeving</t>
  </si>
  <si>
    <t>Kunnen de betrokken partijen (waaronder de gemeente) vrij beschikken over de grond/het trace?</t>
  </si>
  <si>
    <t xml:space="preserve">Vul de rode velden in door gebruik te maken van het uitvouwmenu (dit verschijnt als u op de desbetreffende cel klikt) </t>
  </si>
  <si>
    <t>Bij meerdere cases moet het spreadsheetfilter meerdere malen doorlopen worden</t>
  </si>
  <si>
    <t>Kan het bedrijf met restwarmteaanbod deze warmte mogelijk alsnog zelf terugwinnen/hergebruiken?</t>
  </si>
  <si>
    <t>C35 = nee</t>
  </si>
  <si>
    <t>GJ/jaar</t>
  </si>
  <si>
    <t>Heeft de eigenaar van de warmtebron zijn bedrijfspand en perceel in eigendom/is er sprake van erfpacht?</t>
  </si>
  <si>
    <t>&lt; 20 (landelijk)</t>
  </si>
  <si>
    <t>20-40 (dorp)</t>
  </si>
  <si>
    <t>40-60 (stedelijk)</t>
  </si>
  <si>
    <t>&gt; 60 (hoogstedelijk)</t>
  </si>
  <si>
    <t>C63 = &lt; 20 (landelijk)</t>
  </si>
  <si>
    <t>C63 = 20-40 (dorp)</t>
  </si>
  <si>
    <t>C63 = 40-60 (stedelijk)</t>
  </si>
  <si>
    <t>C63 = &gt; 60 (hoogstedelijk)</t>
  </si>
  <si>
    <t>C64 = &lt; 20 (landelijk)</t>
  </si>
  <si>
    <t>C64 = 20-40 (dorp)</t>
  </si>
  <si>
    <t>C64 = 40-60 (stedelijk)</t>
  </si>
  <si>
    <t>C64 = &gt; 60 (hoogstedelijk)</t>
  </si>
  <si>
    <t>C63 is niet &gt; 60 (hoogstedelijk)</t>
  </si>
  <si>
    <t>C64 is niet &gt; 60 (hoogstedelijk)</t>
  </si>
  <si>
    <t>Er zitten grote schommelingen in de vraag, de benodigde bijstook of warmtelozing kan hierdoor hoog zijn</t>
  </si>
  <si>
    <t>Zijn er andere restwarmtebronnen in de buurt aanwezig, die mogelijk benut kunnen worden i.c.m. bovenstaande bron?</t>
  </si>
  <si>
    <t>Is er een bedrijf in de buurt van de warmtebron met een warmtebehoefte?</t>
  </si>
  <si>
    <t>De transportafstand is groot en door "kunstwerken" kan de aanleg duur zijn</t>
  </si>
  <si>
    <t>De transportafstand is erg groot, de investering is zeer waarschijnlijk niet rendabel</t>
  </si>
  <si>
    <t>De vraag is erg laag, zelfs met deze lage transportafstand is de investering zeer waarschijnlijk niet rendabel</t>
  </si>
  <si>
    <t>De woningdichtheid is zo klein, dat de investering zeer waarschijnlijk niet rendabel is</t>
  </si>
  <si>
    <t>De vraag is laag en de transportafstand is groot, de investering is zeer waarschijnlijk niet rendabel</t>
  </si>
  <si>
    <t>De transportafstand is groot, bij deze hoge vraag (&gt; 250.000 PJ) kan de case toch interessant zijn</t>
  </si>
  <si>
    <t>De vraag is laag, maar door de korte transportafstand kan de case toch interessant zijn</t>
  </si>
  <si>
    <t>De vraag is niet heel groot, maar door de redelijk korte transportafstand kan de case toch interessant zijn</t>
  </si>
  <si>
    <t>De transportafstand is kort, maar door "kunstwerken" kan de aanleg duur zijn</t>
  </si>
  <si>
    <t>De transportafstand is redelijk kort, maar door "kunstwerken" kan de aanleg duur zijn</t>
  </si>
  <si>
    <t>De woningdichtheid is klein, maar door de redelijk korte transportafstand kan de investering toch rendabel zijn</t>
  </si>
  <si>
    <t>De woningdichtheid is klein, maar door de korte transportafstand kan de investering toch rendabel zijn</t>
  </si>
  <si>
    <t xml:space="preserve">De transportafstand is kort, maar door het aantal woningenequivalenten kan de case toch interessant zijn </t>
  </si>
  <si>
    <t xml:space="preserve">De transportafstand is redelijk kort, maar door het aantal woningequivalenten kan de case toch interessant zijn </t>
  </si>
  <si>
    <t>Er zit een groot verschil tussen de temperatuur van de vraag en het aanbod, bekijk of koeling technisch mogelijk is</t>
  </si>
  <si>
    <t>De transportafstand is redelijk kort, maar de woningdichtheid is te klein</t>
  </si>
  <si>
    <t>De transportafstand is groot en de woningdichtheid is te klein</t>
  </si>
  <si>
    <t>De transportafstand is redelijk kort, maar het aantal woningenequivalenten is te klein</t>
  </si>
  <si>
    <t>De transportafstand is groot en het aantal woningenequivalenten is te klein</t>
  </si>
  <si>
    <t>C55 = ja</t>
  </si>
  <si>
    <t>De gemeente kan niet vrij beschikken over het tracé, hierdoor kan de aanleg complex worden</t>
  </si>
  <si>
    <t>Het aantal woningequivalenten is zo klein dat de investering waarschijnlijk niet rendabel is</t>
  </si>
  <si>
    <t>Continuïteit van de warmte (vraag en aanbod)</t>
  </si>
  <si>
    <r>
      <t>1 kW</t>
    </r>
    <r>
      <rPr>
        <sz val="6"/>
        <rFont val="Trebuchet MS"/>
        <family val="2"/>
      </rPr>
      <t>thermisch</t>
    </r>
  </si>
  <si>
    <r>
      <t>1 MW</t>
    </r>
    <r>
      <rPr>
        <sz val="6"/>
        <rFont val="Trebuchet MS"/>
        <family val="2"/>
      </rPr>
      <t xml:space="preserve">thermisch  </t>
    </r>
    <r>
      <rPr>
        <sz val="8"/>
        <rFont val="Trebuchet MS"/>
        <family val="2"/>
      </rPr>
      <t xml:space="preserve">  </t>
    </r>
  </si>
  <si>
    <t>Percentage in gebruik</t>
  </si>
  <si>
    <t>%</t>
  </si>
  <si>
    <r>
      <t>MW</t>
    </r>
    <r>
      <rPr>
        <sz val="7"/>
        <rFont val="Trebuchet MS"/>
        <family val="2"/>
      </rPr>
      <t>thermisch</t>
    </r>
  </si>
  <si>
    <t>Omvang warmteaanbod</t>
  </si>
  <si>
    <t>Gemiddelde tijd in gebruik (%)</t>
  </si>
  <si>
    <t>Wat is de te overbruggen afstand voor het transportnet (tot de rand van de bebouwing)?</t>
  </si>
  <si>
    <t>Wat is de te overbruggen afstand (tot aan ander bedrijf)?</t>
  </si>
  <si>
    <t>Wat is de temperatuur van de warmtevraag (leveringstemperatuur bij de gebruiker)?</t>
  </si>
  <si>
    <t>Wat is de temperatuur van de warmtebron (aanvoer temperatuur afgiftesysteem)?</t>
  </si>
  <si>
    <t>Het transport van &gt; 90 C kan zeer kostbaar zijn over de opgegeven afstand</t>
  </si>
  <si>
    <t xml:space="preserve"> </t>
  </si>
  <si>
    <t>De aanwezige infrastructuur is niet direct relevant, maar hierdoor kan een verschot nog nuttig 'afgevoerd' worden</t>
  </si>
  <si>
    <t>Alternatieve bronnen zijn niet direct relevant, door combineren kan wel de leveringszekerheid worden vergroot</t>
  </si>
  <si>
    <t>Hoeveel bedraagt het aantal woningequivalenten / ha (bij utiliteit en bij woningen en utiliteit)?</t>
  </si>
  <si>
    <t>Het is niet bekend of het bedrijf vrij over zijn pand/perceel kan beschikken, dit is een belangrijke parameter</t>
  </si>
  <si>
    <t>Is er sprake van derden partijen, bijv. omdat het bedrijfspand en perceel gehuurd zijn?</t>
  </si>
  <si>
    <t>Kunnen de warmtebroneigenaar en het naburige bedrijf zelfstandig beslissen over leidingaanleg (onafhankelijk van derden)?</t>
  </si>
  <si>
    <t>Aantal woningen/woningequivalenten</t>
  </si>
  <si>
    <t>Aantal</t>
  </si>
  <si>
    <t>Omvang warmtevraag</t>
  </si>
  <si>
    <t>Gasverbruik t.b.v. warmtebehoefte</t>
  </si>
  <si>
    <t>m3/jaar</t>
  </si>
  <si>
    <t xml:space="preserve">Rest-/ aftapwarmtevermogen    </t>
  </si>
  <si>
    <t>Rest-/aftapwarmtevermogen</t>
  </si>
  <si>
    <t>Hulprekentools bij vraag 2 uit Blok A en de vragen 10, 15 en 19 uit Blok B</t>
  </si>
  <si>
    <t>Hulptabellen (inputs) bij de hulprekentools</t>
  </si>
  <si>
    <t>Verkenning restwarmtebenutting</t>
  </si>
  <si>
    <t>www.agentschapnl.nl/new &gt; Instrumenten &gt; Verkenning</t>
  </si>
  <si>
    <t>C.3 Levering aan de gebouwde omgeving (nieuwbouw/bestaande bouw - woningen/utiliteit) (transportnet en distributienet)</t>
  </si>
  <si>
    <t>B.3 Levering aan de gebouwde omgeving (nieuwbouw/bestaande bouw - woningen/utiliteit)</t>
  </si>
  <si>
    <t>Spreadsheetfilter versie 5 april 2011</t>
  </si>
  <si>
    <t>Disclaimer: Aan de Verkenning restwarmtebenutting kunnen geen rechten worden ontleend. Hoewel dit instrument met de grootst mogelijke zorg is samengesteld kan Agentschap NL geen enkele aansprakelijkheid aanvaarden voor schade als gevolg van eventuele onjuistheden en/of onjuist gebruik van dit instrument.</t>
  </si>
  <si>
    <t>De Verkenning restwarmtebenutting is ontwikkeld in opdracht van het Nationaal Expertisecentrum Warmte (NEW), onderdeel van Agentschap NL. Met de Verkenning kunnen partijen rond een restwarmtebron gestructureerd met elkaar in gesprek komen over de benuttingsmogelijkheden. De Verkenning is bedoeld voor de initiatiefase van (eenvoudige) warmteprojecten en geeft een eerste inschatting of restwarmtebenutting interessant kan zijn. Het geeft aan of nader onderzoek naar restwarmtebenutting zinvol is.</t>
  </si>
  <si>
    <t xml:space="preserve">De Verkenning restwarmtebenutting bestaat uit een spreadsheetfilter en handleiding. Er is ook een factsheet over de Verkenning. U vindt deze documenten op: </t>
  </si>
  <si>
    <t>Optie nader uit te werken:</t>
  </si>
</sst>
</file>

<file path=xl/styles.xml><?xml version="1.0" encoding="utf-8"?>
<styleSheet xmlns="http://schemas.openxmlformats.org/spreadsheetml/2006/main">
  <numFmts count="3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Ja&quot;;&quot;Ja&quot;;&quot;Nee&quot;"/>
    <numFmt numFmtId="173" formatCode="&quot;Waar&quot;;&quot;Waar&quot;;&quot;Niet waar&quot;"/>
    <numFmt numFmtId="174" formatCode="&quot;Aan&quot;;&quot;Aan&quot;;&quot;Uit&quot;"/>
    <numFmt numFmtId="175" formatCode="[$€-2]\ #.##000_);[Red]\([$€-2]\ #.##000\)"/>
    <numFmt numFmtId="176" formatCode="0;\-0;;@"/>
    <numFmt numFmtId="177" formatCode="\-;\-&quot;-&quot;;;@"/>
    <numFmt numFmtId="178" formatCode="[$-413]dddd\ d\ mmmm\ yyyy"/>
    <numFmt numFmtId="179" formatCode="00.00.00.000"/>
    <numFmt numFmtId="180" formatCode="#,##0.0"/>
    <numFmt numFmtId="181" formatCode="#,##0.000"/>
    <numFmt numFmtId="182" formatCode="#,##0.0000"/>
    <numFmt numFmtId="183" formatCode="#,##0.00000"/>
    <numFmt numFmtId="184" formatCode="0.0"/>
    <numFmt numFmtId="185" formatCode="0.0%"/>
  </numFmts>
  <fonts count="27">
    <font>
      <sz val="10"/>
      <name val="Arial"/>
      <family val="0"/>
    </font>
    <font>
      <sz val="8"/>
      <name val="Arial"/>
      <family val="0"/>
    </font>
    <font>
      <u val="single"/>
      <sz val="10"/>
      <color indexed="12"/>
      <name val="Arial"/>
      <family val="0"/>
    </font>
    <font>
      <u val="single"/>
      <sz val="10"/>
      <color indexed="36"/>
      <name val="Arial"/>
      <family val="0"/>
    </font>
    <font>
      <b/>
      <i/>
      <sz val="8"/>
      <name val="Trebuchet MS"/>
      <family val="2"/>
    </font>
    <font>
      <sz val="8"/>
      <name val="Trebuchet MS"/>
      <family val="2"/>
    </font>
    <font>
      <b/>
      <sz val="8"/>
      <name val="Trebuchet MS"/>
      <family val="2"/>
    </font>
    <font>
      <sz val="8"/>
      <color indexed="9"/>
      <name val="Trebuchet MS"/>
      <family val="2"/>
    </font>
    <font>
      <sz val="10"/>
      <name val="Trebuchet MS"/>
      <family val="2"/>
    </font>
    <font>
      <sz val="7"/>
      <name val="Trebuchet MS"/>
      <family val="2"/>
    </font>
    <font>
      <sz val="8"/>
      <name val="Symbol"/>
      <family val="1"/>
    </font>
    <font>
      <sz val="8"/>
      <name val="Tahoma"/>
      <family val="0"/>
    </font>
    <font>
      <sz val="10"/>
      <color indexed="9"/>
      <name val="Trebuchet MS"/>
      <family val="2"/>
    </font>
    <font>
      <b/>
      <sz val="10"/>
      <color indexed="10"/>
      <name val="Trebuchet MS"/>
      <family val="2"/>
    </font>
    <font>
      <b/>
      <sz val="10"/>
      <name val="Trebuchet MS"/>
      <family val="2"/>
    </font>
    <font>
      <b/>
      <i/>
      <sz val="10"/>
      <color indexed="22"/>
      <name val="Trebuchet MS"/>
      <family val="2"/>
    </font>
    <font>
      <b/>
      <i/>
      <sz val="10"/>
      <color indexed="55"/>
      <name val="Trebuchet MS"/>
      <family val="2"/>
    </font>
    <font>
      <sz val="10"/>
      <color indexed="12"/>
      <name val="Trebuchet MS"/>
      <family val="2"/>
    </font>
    <font>
      <sz val="6"/>
      <name val="Trebuchet MS"/>
      <family val="2"/>
    </font>
    <font>
      <sz val="12"/>
      <name val="Verdana"/>
      <family val="2"/>
    </font>
    <font>
      <b/>
      <sz val="20"/>
      <name val="Verdana"/>
      <family val="2"/>
    </font>
    <font>
      <b/>
      <sz val="12"/>
      <name val="Verdana"/>
      <family val="2"/>
    </font>
    <font>
      <i/>
      <sz val="11"/>
      <name val="Verdana"/>
      <family val="2"/>
    </font>
    <font>
      <sz val="11"/>
      <name val="Verdana"/>
      <family val="2"/>
    </font>
    <font>
      <sz val="11"/>
      <color indexed="25"/>
      <name val="Verdana"/>
      <family val="2"/>
    </font>
    <font>
      <b/>
      <sz val="11"/>
      <name val="Verdana"/>
      <family val="2"/>
    </font>
    <font>
      <b/>
      <sz val="8"/>
      <name val="Arial"/>
      <family val="2"/>
    </font>
  </fonts>
  <fills count="12">
    <fill>
      <patternFill/>
    </fill>
    <fill>
      <patternFill patternType="gray125"/>
    </fill>
    <fill>
      <patternFill patternType="solid">
        <fgColor indexed="9"/>
        <bgColor indexed="64"/>
      </patternFill>
    </fill>
    <fill>
      <patternFill patternType="solid">
        <fgColor indexed="51"/>
        <bgColor indexed="64"/>
      </patternFill>
    </fill>
    <fill>
      <patternFill patternType="solid">
        <fgColor indexed="10"/>
        <bgColor indexed="64"/>
      </patternFill>
    </fill>
    <fill>
      <patternFill patternType="solid">
        <fgColor indexed="22"/>
        <bgColor indexed="64"/>
      </patternFill>
    </fill>
    <fill>
      <patternFill patternType="solid">
        <fgColor indexed="52"/>
        <bgColor indexed="64"/>
      </patternFill>
    </fill>
    <fill>
      <patternFill patternType="solid">
        <fgColor indexed="44"/>
        <bgColor indexed="64"/>
      </patternFill>
    </fill>
    <fill>
      <patternFill patternType="solid">
        <fgColor indexed="27"/>
        <bgColor indexed="64"/>
      </patternFill>
    </fill>
    <fill>
      <patternFill patternType="solid">
        <fgColor indexed="55"/>
        <bgColor indexed="64"/>
      </patternFill>
    </fill>
    <fill>
      <patternFill patternType="solid">
        <fgColor indexed="25"/>
        <bgColor indexed="64"/>
      </patternFill>
    </fill>
    <fill>
      <patternFill patternType="solid">
        <fgColor indexed="28"/>
        <bgColor indexed="64"/>
      </patternFill>
    </fill>
  </fills>
  <borders count="41">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style="medium"/>
    </border>
    <border>
      <left>
        <color indexed="63"/>
      </left>
      <right>
        <color indexed="63"/>
      </right>
      <top style="medium"/>
      <bottom style="thin"/>
    </border>
    <border>
      <left style="medium"/>
      <right style="medium"/>
      <top style="medium"/>
      <bottom style="thin"/>
    </border>
    <border>
      <left style="medium"/>
      <right>
        <color indexed="63"/>
      </right>
      <top style="medium"/>
      <bottom style="thin"/>
    </border>
    <border>
      <left style="medium"/>
      <right style="medium"/>
      <top>
        <color indexed="63"/>
      </top>
      <bottom>
        <color indexed="63"/>
      </bottom>
    </border>
    <border>
      <left style="medium"/>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color indexed="63"/>
      </bottom>
    </border>
    <border>
      <left style="medium"/>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color indexed="63"/>
      </bottom>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medium">
        <color indexed="25"/>
      </left>
      <right style="medium">
        <color indexed="25"/>
      </right>
      <top style="medium">
        <color indexed="25"/>
      </top>
      <bottom style="medium">
        <color indexed="25"/>
      </bottom>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65">
    <xf numFmtId="0" fontId="0" fillId="0" borderId="0" xfId="0" applyAlignment="1">
      <alignment/>
    </xf>
    <xf numFmtId="0" fontId="4" fillId="2" borderId="1" xfId="0" applyFont="1" applyFill="1" applyBorder="1" applyAlignment="1">
      <alignment/>
    </xf>
    <xf numFmtId="0" fontId="5" fillId="2" borderId="1" xfId="0" applyFont="1" applyFill="1" applyBorder="1" applyAlignment="1">
      <alignment horizontal="center"/>
    </xf>
    <xf numFmtId="0" fontId="5" fillId="2" borderId="1" xfId="0" applyFont="1" applyFill="1" applyBorder="1" applyAlignment="1">
      <alignment/>
    </xf>
    <xf numFmtId="0" fontId="6" fillId="2" borderId="0" xfId="0" applyFont="1" applyFill="1" applyAlignment="1">
      <alignment/>
    </xf>
    <xf numFmtId="0" fontId="5"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2" borderId="0" xfId="0" applyFont="1" applyFill="1" applyBorder="1" applyAlignment="1" quotePrefix="1">
      <alignment horizontal="center" vertical="center" wrapText="1"/>
    </xf>
    <xf numFmtId="0" fontId="6" fillId="2" borderId="0" xfId="0" applyFont="1" applyFill="1" applyBorder="1" applyAlignment="1">
      <alignment vertical="top" wrapText="1"/>
    </xf>
    <xf numFmtId="0" fontId="5" fillId="2" borderId="0" xfId="0" applyFont="1" applyFill="1" applyBorder="1" applyAlignment="1">
      <alignment horizontal="center" vertical="top" wrapText="1"/>
    </xf>
    <xf numFmtId="0" fontId="5" fillId="2" borderId="0" xfId="0" applyFont="1" applyFill="1" applyBorder="1" applyAlignment="1">
      <alignment horizontal="center"/>
    </xf>
    <xf numFmtId="0" fontId="5" fillId="2" borderId="0" xfId="0" applyFont="1" applyFill="1" applyBorder="1" applyAlignment="1">
      <alignment/>
    </xf>
    <xf numFmtId="0" fontId="5" fillId="2" borderId="0" xfId="0" applyFont="1" applyFill="1" applyBorder="1" applyAlignment="1" quotePrefix="1">
      <alignment vertical="top" wrapText="1"/>
    </xf>
    <xf numFmtId="0" fontId="6" fillId="2" borderId="0" xfId="0" applyFont="1" applyFill="1" applyBorder="1" applyAlignment="1">
      <alignment/>
    </xf>
    <xf numFmtId="0" fontId="6" fillId="2" borderId="2" xfId="0" applyFont="1" applyFill="1" applyBorder="1" applyAlignment="1">
      <alignment horizontal="center"/>
    </xf>
    <xf numFmtId="0" fontId="6" fillId="2" borderId="4" xfId="0" applyFont="1" applyFill="1" applyBorder="1" applyAlignment="1">
      <alignment/>
    </xf>
    <xf numFmtId="0" fontId="6" fillId="2" borderId="5" xfId="0" applyFont="1" applyFill="1" applyBorder="1" applyAlignment="1">
      <alignment/>
    </xf>
    <xf numFmtId="0" fontId="6" fillId="2" borderId="6" xfId="0" applyFont="1" applyFill="1" applyBorder="1" applyAlignment="1">
      <alignment horizontal="center"/>
    </xf>
    <xf numFmtId="0" fontId="6" fillId="2" borderId="7" xfId="0" applyFont="1" applyFill="1" applyBorder="1" applyAlignment="1">
      <alignment horizontal="center"/>
    </xf>
    <xf numFmtId="20" fontId="5" fillId="2" borderId="0" xfId="0" applyNumberFormat="1" applyFont="1" applyFill="1" applyAlignment="1">
      <alignment horizontal="center"/>
    </xf>
    <xf numFmtId="20" fontId="5" fillId="2" borderId="2" xfId="0" applyNumberFormat="1" applyFont="1" applyFill="1" applyBorder="1" applyAlignment="1">
      <alignment horizontal="center"/>
    </xf>
    <xf numFmtId="0" fontId="5" fillId="3" borderId="8" xfId="0" applyFont="1" applyFill="1" applyBorder="1" applyAlignment="1">
      <alignment/>
    </xf>
    <xf numFmtId="0" fontId="5" fillId="3" borderId="9" xfId="0" applyFont="1" applyFill="1" applyBorder="1" applyAlignment="1">
      <alignment horizontal="center"/>
    </xf>
    <xf numFmtId="0" fontId="5" fillId="4" borderId="8" xfId="0" applyFont="1" applyFill="1" applyBorder="1" applyAlignment="1">
      <alignment/>
    </xf>
    <xf numFmtId="0" fontId="5" fillId="4" borderId="9" xfId="0" applyFont="1" applyFill="1" applyBorder="1" applyAlignment="1">
      <alignment horizontal="center"/>
    </xf>
    <xf numFmtId="20" fontId="5" fillId="2" borderId="3" xfId="0" applyNumberFormat="1" applyFont="1" applyFill="1" applyBorder="1" applyAlignment="1">
      <alignment horizontal="center"/>
    </xf>
    <xf numFmtId="0" fontId="5" fillId="3" borderId="10" xfId="0" applyFont="1" applyFill="1" applyBorder="1" applyAlignment="1">
      <alignment/>
    </xf>
    <xf numFmtId="0" fontId="5" fillId="2" borderId="11" xfId="0" applyFont="1" applyFill="1" applyBorder="1" applyAlignment="1">
      <alignment/>
    </xf>
    <xf numFmtId="0" fontId="5" fillId="2" borderId="12" xfId="0" applyFont="1" applyFill="1" applyBorder="1" applyAlignment="1">
      <alignment horizontal="center"/>
    </xf>
    <xf numFmtId="0" fontId="5" fillId="2" borderId="11" xfId="0" applyFont="1" applyFill="1" applyBorder="1" applyAlignment="1">
      <alignment horizontal="center"/>
    </xf>
    <xf numFmtId="0" fontId="5" fillId="2" borderId="13" xfId="0" applyFont="1" applyFill="1" applyBorder="1" applyAlignment="1">
      <alignment/>
    </xf>
    <xf numFmtId="0" fontId="5" fillId="2" borderId="14" xfId="0" applyFont="1" applyFill="1" applyBorder="1" applyAlignment="1">
      <alignment/>
    </xf>
    <xf numFmtId="0" fontId="5" fillId="3" borderId="15" xfId="0" applyFont="1" applyFill="1" applyBorder="1" applyAlignment="1">
      <alignment/>
    </xf>
    <xf numFmtId="0" fontId="5" fillId="3" borderId="12" xfId="0" applyFont="1" applyFill="1" applyBorder="1" applyAlignment="1">
      <alignment horizontal="center"/>
    </xf>
    <xf numFmtId="0" fontId="5" fillId="3" borderId="16" xfId="0" applyFont="1" applyFill="1" applyBorder="1" applyAlignment="1">
      <alignment/>
    </xf>
    <xf numFmtId="0" fontId="5" fillId="3" borderId="17" xfId="0" applyFont="1" applyFill="1" applyBorder="1" applyAlignment="1">
      <alignment/>
    </xf>
    <xf numFmtId="0" fontId="5" fillId="3" borderId="18" xfId="0" applyFont="1" applyFill="1" applyBorder="1" applyAlignment="1">
      <alignment/>
    </xf>
    <xf numFmtId="0" fontId="5" fillId="4" borderId="19" xfId="0" applyFont="1" applyFill="1" applyBorder="1" applyAlignment="1">
      <alignment/>
    </xf>
    <xf numFmtId="0" fontId="5" fillId="4" borderId="20" xfId="0" applyFont="1" applyFill="1" applyBorder="1" applyAlignment="1">
      <alignment horizontal="center"/>
    </xf>
    <xf numFmtId="0" fontId="5" fillId="2" borderId="17" xfId="0" applyFont="1" applyFill="1" applyBorder="1" applyAlignment="1">
      <alignment/>
    </xf>
    <xf numFmtId="0" fontId="5" fillId="2" borderId="18" xfId="0" applyFont="1" applyFill="1" applyBorder="1" applyAlignment="1">
      <alignment/>
    </xf>
    <xf numFmtId="0" fontId="5" fillId="2" borderId="21" xfId="0" applyFont="1" applyFill="1" applyBorder="1" applyAlignment="1">
      <alignment/>
    </xf>
    <xf numFmtId="0" fontId="5" fillId="2" borderId="22" xfId="0" applyFont="1" applyFill="1" applyBorder="1" applyAlignment="1">
      <alignment/>
    </xf>
    <xf numFmtId="0" fontId="5" fillId="4" borderId="0" xfId="0" applyFont="1" applyFill="1" applyBorder="1" applyAlignment="1">
      <alignment/>
    </xf>
    <xf numFmtId="0" fontId="5" fillId="4" borderId="11" xfId="0" applyFont="1" applyFill="1" applyBorder="1" applyAlignment="1">
      <alignment horizontal="center"/>
    </xf>
    <xf numFmtId="0" fontId="5" fillId="3" borderId="21" xfId="0" applyFont="1" applyFill="1" applyBorder="1" applyAlignment="1">
      <alignment/>
    </xf>
    <xf numFmtId="0" fontId="5" fillId="4" borderId="21" xfId="0" applyFont="1" applyFill="1" applyBorder="1" applyAlignment="1">
      <alignment/>
    </xf>
    <xf numFmtId="0" fontId="5" fillId="4" borderId="23" xfId="0" applyFont="1" applyFill="1" applyBorder="1" applyAlignment="1">
      <alignment/>
    </xf>
    <xf numFmtId="0" fontId="5" fillId="4" borderId="24" xfId="0" applyFont="1" applyFill="1" applyBorder="1" applyAlignment="1">
      <alignment/>
    </xf>
    <xf numFmtId="0" fontId="5" fillId="2" borderId="23" xfId="0" applyFont="1" applyFill="1" applyBorder="1" applyAlignment="1">
      <alignment/>
    </xf>
    <xf numFmtId="0" fontId="5" fillId="3" borderId="23" xfId="0" applyFont="1" applyFill="1" applyBorder="1" applyAlignment="1">
      <alignment/>
    </xf>
    <xf numFmtId="0" fontId="5" fillId="3" borderId="20" xfId="0" applyFont="1" applyFill="1" applyBorder="1" applyAlignment="1">
      <alignment horizontal="center"/>
    </xf>
    <xf numFmtId="0" fontId="5" fillId="4" borderId="16" xfId="0" applyFont="1" applyFill="1" applyBorder="1" applyAlignment="1">
      <alignment/>
    </xf>
    <xf numFmtId="0" fontId="5" fillId="3" borderId="24" xfId="0" applyFont="1" applyFill="1" applyBorder="1" applyAlignment="1">
      <alignment horizontal="center"/>
    </xf>
    <xf numFmtId="0" fontId="5" fillId="3" borderId="13" xfId="0" applyFont="1" applyFill="1" applyBorder="1" applyAlignment="1">
      <alignment/>
    </xf>
    <xf numFmtId="0" fontId="5" fillId="3" borderId="11" xfId="0" applyFont="1" applyFill="1" applyBorder="1" applyAlignment="1">
      <alignment horizontal="center"/>
    </xf>
    <xf numFmtId="0" fontId="5" fillId="2" borderId="25" xfId="0" applyFont="1" applyFill="1" applyBorder="1" applyAlignment="1">
      <alignment horizontal="center"/>
    </xf>
    <xf numFmtId="0" fontId="5" fillId="5" borderId="26" xfId="0" applyFont="1" applyFill="1" applyBorder="1" applyAlignment="1">
      <alignment/>
    </xf>
    <xf numFmtId="0" fontId="5" fillId="5" borderId="27" xfId="0" applyFont="1" applyFill="1" applyBorder="1" applyAlignment="1">
      <alignment/>
    </xf>
    <xf numFmtId="0" fontId="5" fillId="5" borderId="28" xfId="0" applyFont="1" applyFill="1" applyBorder="1" applyAlignment="1">
      <alignment horizontal="center"/>
    </xf>
    <xf numFmtId="0" fontId="5" fillId="5" borderId="29" xfId="0" applyFont="1" applyFill="1" applyBorder="1" applyAlignment="1">
      <alignment/>
    </xf>
    <xf numFmtId="20" fontId="5" fillId="3" borderId="3" xfId="0" applyNumberFormat="1" applyFont="1" applyFill="1" applyBorder="1" applyAlignment="1">
      <alignment/>
    </xf>
    <xf numFmtId="0" fontId="5" fillId="3" borderId="3" xfId="0" applyFont="1" applyFill="1" applyBorder="1" applyAlignment="1">
      <alignment/>
    </xf>
    <xf numFmtId="0" fontId="5" fillId="3" borderId="2" xfId="0" applyFont="1" applyFill="1" applyBorder="1" applyAlignment="1">
      <alignment horizontal="center"/>
    </xf>
    <xf numFmtId="20" fontId="5" fillId="3" borderId="30" xfId="0" applyNumberFormat="1" applyFont="1" applyFill="1" applyBorder="1" applyAlignment="1">
      <alignment/>
    </xf>
    <xf numFmtId="0" fontId="5" fillId="3" borderId="19" xfId="0" applyFont="1" applyFill="1" applyBorder="1" applyAlignment="1">
      <alignment/>
    </xf>
    <xf numFmtId="0" fontId="5" fillId="4" borderId="24" xfId="0" applyFont="1" applyFill="1" applyBorder="1" applyAlignment="1">
      <alignment horizontal="center"/>
    </xf>
    <xf numFmtId="0" fontId="5" fillId="3" borderId="0" xfId="0" applyFont="1" applyFill="1" applyBorder="1" applyAlignment="1">
      <alignment/>
    </xf>
    <xf numFmtId="0" fontId="5" fillId="2" borderId="15" xfId="0" applyFont="1" applyFill="1" applyBorder="1" applyAlignment="1">
      <alignment/>
    </xf>
    <xf numFmtId="0" fontId="5" fillId="2" borderId="24" xfId="0" applyFont="1" applyFill="1" applyBorder="1" applyAlignment="1">
      <alignment horizontal="center"/>
    </xf>
    <xf numFmtId="0" fontId="5" fillId="5" borderId="0" xfId="0" applyFont="1" applyFill="1" applyAlignment="1">
      <alignment/>
    </xf>
    <xf numFmtId="20" fontId="5" fillId="5" borderId="0" xfId="0" applyNumberFormat="1" applyFont="1" applyFill="1" applyAlignment="1">
      <alignment horizontal="center"/>
    </xf>
    <xf numFmtId="0" fontId="5" fillId="2" borderId="13" xfId="0" applyFont="1" applyFill="1" applyBorder="1" applyAlignment="1">
      <alignment horizontal="center"/>
    </xf>
    <xf numFmtId="0" fontId="5" fillId="2" borderId="25" xfId="0" applyFont="1" applyFill="1" applyBorder="1" applyAlignment="1">
      <alignment/>
    </xf>
    <xf numFmtId="0" fontId="5" fillId="4" borderId="10" xfId="0" applyFont="1" applyFill="1" applyBorder="1" applyAlignment="1">
      <alignment horizontal="center"/>
    </xf>
    <xf numFmtId="0" fontId="5" fillId="5" borderId="26" xfId="0" applyFont="1" applyFill="1" applyBorder="1" applyAlignment="1">
      <alignment horizontal="center"/>
    </xf>
    <xf numFmtId="0" fontId="5" fillId="2" borderId="16" xfId="0" applyFont="1" applyFill="1" applyBorder="1" applyAlignment="1">
      <alignment/>
    </xf>
    <xf numFmtId="0" fontId="5" fillId="2" borderId="31" xfId="0" applyFont="1" applyFill="1" applyBorder="1" applyAlignment="1">
      <alignment/>
    </xf>
    <xf numFmtId="0" fontId="5" fillId="2" borderId="20" xfId="0" applyFont="1" applyFill="1" applyBorder="1" applyAlignment="1">
      <alignment horizontal="center"/>
    </xf>
    <xf numFmtId="0" fontId="5" fillId="2" borderId="3" xfId="0" applyFont="1" applyFill="1" applyBorder="1" applyAlignment="1">
      <alignment/>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5" xfId="0" applyFont="1" applyFill="1" applyBorder="1" applyAlignment="1">
      <alignment/>
    </xf>
    <xf numFmtId="0" fontId="5" fillId="3" borderId="30" xfId="0" applyFont="1" applyFill="1" applyBorder="1" applyAlignment="1">
      <alignment/>
    </xf>
    <xf numFmtId="0" fontId="5" fillId="2" borderId="32" xfId="0" applyFont="1" applyFill="1" applyBorder="1" applyAlignment="1">
      <alignment/>
    </xf>
    <xf numFmtId="20" fontId="5" fillId="2" borderId="2" xfId="0" applyNumberFormat="1" applyFont="1" applyFill="1" applyBorder="1" applyAlignment="1">
      <alignment/>
    </xf>
    <xf numFmtId="0" fontId="5" fillId="4" borderId="15" xfId="0" applyFont="1" applyFill="1" applyBorder="1" applyAlignment="1">
      <alignment/>
    </xf>
    <xf numFmtId="0" fontId="5" fillId="4" borderId="12" xfId="0" applyFont="1" applyFill="1" applyBorder="1" applyAlignment="1">
      <alignment horizontal="center"/>
    </xf>
    <xf numFmtId="0" fontId="5" fillId="4" borderId="0" xfId="0" applyFont="1" applyFill="1" applyAlignment="1">
      <alignment vertical="center"/>
    </xf>
    <xf numFmtId="0" fontId="5" fillId="4" borderId="0" xfId="0" applyFont="1" applyFill="1" applyAlignment="1">
      <alignment/>
    </xf>
    <xf numFmtId="0" fontId="5" fillId="4" borderId="0" xfId="0" applyFont="1" applyFill="1" applyAlignment="1">
      <alignment horizontal="center"/>
    </xf>
    <xf numFmtId="0" fontId="5" fillId="6" borderId="0" xfId="0" applyFont="1" applyFill="1" applyAlignment="1">
      <alignment vertical="center"/>
    </xf>
    <xf numFmtId="0" fontId="5" fillId="6" borderId="0" xfId="0" applyFont="1" applyFill="1" applyAlignment="1">
      <alignment vertical="center" wrapText="1"/>
    </xf>
    <xf numFmtId="0" fontId="5" fillId="2" borderId="0" xfId="0" applyFont="1" applyFill="1" applyAlignment="1">
      <alignment vertical="center" wrapText="1"/>
    </xf>
    <xf numFmtId="0" fontId="8" fillId="4" borderId="0" xfId="0" applyFont="1" applyFill="1" applyAlignment="1">
      <alignment vertical="center"/>
    </xf>
    <xf numFmtId="0" fontId="5" fillId="4" borderId="0" xfId="0" applyFont="1" applyFill="1" applyAlignment="1">
      <alignment vertical="center" wrapText="1"/>
    </xf>
    <xf numFmtId="0" fontId="5" fillId="6" borderId="0" xfId="0" applyFont="1" applyFill="1" applyBorder="1" applyAlignment="1">
      <alignment vertical="center"/>
    </xf>
    <xf numFmtId="0" fontId="6" fillId="6" borderId="0" xfId="0" applyFont="1" applyFill="1" applyBorder="1" applyAlignment="1">
      <alignment horizontal="center" vertical="center" wrapText="1"/>
    </xf>
    <xf numFmtId="0" fontId="5" fillId="4" borderId="0" xfId="0" applyFont="1" applyFill="1" applyBorder="1" applyAlignment="1">
      <alignment vertical="center"/>
    </xf>
    <xf numFmtId="0" fontId="5" fillId="4" borderId="0"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20" fontId="5" fillId="2" borderId="0" xfId="0" applyNumberFormat="1" applyFont="1" applyFill="1" applyBorder="1" applyAlignment="1">
      <alignment horizontal="right" vertical="center" wrapText="1"/>
    </xf>
    <xf numFmtId="0" fontId="5" fillId="2" borderId="0" xfId="0" applyFont="1" applyFill="1" applyBorder="1" applyAlignment="1">
      <alignment vertical="center" wrapText="1"/>
    </xf>
    <xf numFmtId="20" fontId="5" fillId="2" borderId="0" xfId="0" applyNumberFormat="1" applyFont="1" applyFill="1" applyBorder="1" applyAlignment="1">
      <alignment horizontal="left"/>
    </xf>
    <xf numFmtId="0" fontId="5" fillId="2" borderId="0" xfId="0" applyFont="1" applyFill="1" applyBorder="1" applyAlignment="1">
      <alignment horizontal="left"/>
    </xf>
    <xf numFmtId="0" fontId="5" fillId="6" borderId="0" xfId="0" applyFont="1" applyFill="1" applyBorder="1" applyAlignment="1">
      <alignment horizontal="left"/>
    </xf>
    <xf numFmtId="0" fontId="5" fillId="2" borderId="0" xfId="0" applyFont="1" applyFill="1" applyBorder="1" applyAlignment="1">
      <alignment vertical="center"/>
    </xf>
    <xf numFmtId="0" fontId="8" fillId="2" borderId="1" xfId="0" applyFont="1" applyFill="1" applyBorder="1" applyAlignment="1">
      <alignment/>
    </xf>
    <xf numFmtId="0" fontId="5" fillId="2" borderId="1" xfId="0" applyFont="1" applyFill="1" applyBorder="1" applyAlignment="1" applyProtection="1">
      <alignment horizontal="center"/>
      <protection locked="0"/>
    </xf>
    <xf numFmtId="0" fontId="9" fillId="2" borderId="1" xfId="0" applyFont="1" applyFill="1" applyBorder="1" applyAlignment="1">
      <alignment horizontal="center"/>
    </xf>
    <xf numFmtId="0" fontId="8" fillId="2" borderId="0" xfId="0" applyFont="1" applyFill="1" applyAlignment="1">
      <alignment/>
    </xf>
    <xf numFmtId="0" fontId="9" fillId="2" borderId="0" xfId="0" applyFont="1" applyFill="1" applyAlignment="1">
      <alignment horizontal="center"/>
    </xf>
    <xf numFmtId="0" fontId="9" fillId="7" borderId="0" xfId="0" applyFont="1" applyFill="1" applyBorder="1" applyAlignment="1">
      <alignment horizontal="center"/>
    </xf>
    <xf numFmtId="0" fontId="9" fillId="2" borderId="0" xfId="0" applyFont="1" applyFill="1" applyBorder="1" applyAlignment="1">
      <alignment horizontal="center"/>
    </xf>
    <xf numFmtId="0" fontId="5" fillId="2" borderId="0" xfId="0" applyFont="1" applyFill="1" applyAlignment="1" applyProtection="1">
      <alignment horizontal="center"/>
      <protection locked="0"/>
    </xf>
    <xf numFmtId="0" fontId="5" fillId="8" borderId="0" xfId="0" applyFont="1" applyFill="1" applyAlignment="1" applyProtection="1">
      <alignment horizontal="center"/>
      <protection locked="0"/>
    </xf>
    <xf numFmtId="0" fontId="5" fillId="8" borderId="7" xfId="0" applyFont="1" applyFill="1" applyBorder="1" applyAlignment="1" applyProtection="1">
      <alignment horizontal="center"/>
      <protection locked="0"/>
    </xf>
    <xf numFmtId="49" fontId="9" fillId="2" borderId="0" xfId="0" applyNumberFormat="1" applyFont="1" applyFill="1" applyAlignment="1">
      <alignment horizontal="center"/>
    </xf>
    <xf numFmtId="0" fontId="5" fillId="2" borderId="7" xfId="0" applyFont="1" applyFill="1" applyBorder="1" applyAlignment="1" applyProtection="1">
      <alignment horizontal="center"/>
      <protection locked="0"/>
    </xf>
    <xf numFmtId="0" fontId="5" fillId="2" borderId="11" xfId="0" applyFont="1" applyFill="1" applyBorder="1" applyAlignment="1" applyProtection="1">
      <alignment horizontal="center"/>
      <protection locked="0"/>
    </xf>
    <xf numFmtId="0" fontId="5" fillId="2" borderId="25" xfId="0" applyFont="1" applyFill="1" applyBorder="1" applyAlignment="1" applyProtection="1">
      <alignment horizontal="center"/>
      <protection locked="0"/>
    </xf>
    <xf numFmtId="49" fontId="5" fillId="2" borderId="11" xfId="0" applyNumberFormat="1" applyFont="1" applyFill="1" applyBorder="1" applyAlignment="1" applyProtection="1">
      <alignment horizontal="center"/>
      <protection locked="0"/>
    </xf>
    <xf numFmtId="49" fontId="5" fillId="2" borderId="25" xfId="0" applyNumberFormat="1" applyFont="1" applyFill="1" applyBorder="1" applyAlignment="1" applyProtection="1">
      <alignment horizontal="center"/>
      <protection locked="0"/>
    </xf>
    <xf numFmtId="0" fontId="5" fillId="2" borderId="19" xfId="0" applyFont="1" applyFill="1" applyBorder="1" applyAlignment="1">
      <alignment/>
    </xf>
    <xf numFmtId="0" fontId="5" fillId="4" borderId="21" xfId="0" applyFont="1" applyFill="1" applyBorder="1" applyAlignment="1">
      <alignment horizontal="center"/>
    </xf>
    <xf numFmtId="20" fontId="5" fillId="2" borderId="11" xfId="0" applyNumberFormat="1" applyFont="1" applyFill="1" applyBorder="1" applyAlignment="1">
      <alignment horizontal="center"/>
    </xf>
    <xf numFmtId="0" fontId="5" fillId="5" borderId="25" xfId="0" applyFont="1" applyFill="1" applyBorder="1" applyAlignment="1">
      <alignment horizontal="center"/>
    </xf>
    <xf numFmtId="0" fontId="5" fillId="5" borderId="1" xfId="0" applyFont="1" applyFill="1" applyBorder="1" applyAlignment="1">
      <alignment/>
    </xf>
    <xf numFmtId="0" fontId="5" fillId="5" borderId="33" xfId="0" applyFont="1" applyFill="1" applyBorder="1" applyAlignment="1">
      <alignment/>
    </xf>
    <xf numFmtId="20" fontId="5" fillId="3" borderId="17" xfId="0" applyNumberFormat="1" applyFont="1" applyFill="1" applyBorder="1" applyAlignment="1">
      <alignment/>
    </xf>
    <xf numFmtId="20" fontId="5" fillId="4" borderId="19" xfId="0" applyNumberFormat="1" applyFont="1" applyFill="1" applyBorder="1" applyAlignment="1">
      <alignment/>
    </xf>
    <xf numFmtId="0" fontId="5" fillId="2" borderId="2" xfId="0" applyFont="1" applyFill="1" applyBorder="1" applyAlignment="1">
      <alignment/>
    </xf>
    <xf numFmtId="0" fontId="5" fillId="6" borderId="0" xfId="0" applyFont="1" applyFill="1" applyAlignment="1">
      <alignment/>
    </xf>
    <xf numFmtId="0" fontId="5" fillId="6" borderId="0" xfId="0" applyFont="1" applyFill="1" applyAlignment="1">
      <alignment horizontal="center"/>
    </xf>
    <xf numFmtId="0" fontId="5" fillId="2" borderId="2" xfId="0" applyFont="1" applyFill="1" applyBorder="1" applyAlignment="1" applyProtection="1">
      <alignment horizontal="center"/>
      <protection locked="0"/>
    </xf>
    <xf numFmtId="0" fontId="10" fillId="2" borderId="0" xfId="0" applyFont="1" applyFill="1" applyBorder="1" applyAlignment="1">
      <alignment vertical="top" wrapText="1"/>
    </xf>
    <xf numFmtId="0" fontId="5" fillId="2" borderId="0" xfId="0" applyFont="1" applyFill="1" applyBorder="1" applyAlignment="1">
      <alignment vertical="top" wrapText="1"/>
    </xf>
    <xf numFmtId="0" fontId="5" fillId="4" borderId="10" xfId="0" applyFont="1" applyFill="1" applyBorder="1" applyAlignment="1">
      <alignment/>
    </xf>
    <xf numFmtId="0" fontId="5" fillId="5" borderId="7" xfId="0" applyFont="1" applyFill="1" applyBorder="1" applyAlignment="1">
      <alignment horizontal="center"/>
    </xf>
    <xf numFmtId="20" fontId="5" fillId="2" borderId="0" xfId="0" applyNumberFormat="1" applyFont="1" applyFill="1" applyBorder="1" applyAlignment="1">
      <alignment/>
    </xf>
    <xf numFmtId="0" fontId="5" fillId="4" borderId="0" xfId="0" applyFont="1" applyFill="1" applyBorder="1" applyAlignment="1">
      <alignment horizontal="left"/>
    </xf>
    <xf numFmtId="0" fontId="9" fillId="2" borderId="0" xfId="0" applyFont="1" applyFill="1" applyAlignment="1">
      <alignment horizontal="left"/>
    </xf>
    <xf numFmtId="0" fontId="1" fillId="2" borderId="0" xfId="0" applyFont="1" applyFill="1" applyBorder="1" applyAlignment="1">
      <alignment horizontal="center"/>
    </xf>
    <xf numFmtId="2" fontId="9" fillId="2" borderId="0" xfId="0" applyNumberFormat="1" applyFont="1" applyFill="1" applyAlignment="1">
      <alignment horizontal="center"/>
    </xf>
    <xf numFmtId="0" fontId="5" fillId="4" borderId="0" xfId="0" applyFont="1" applyFill="1" applyAlignment="1" quotePrefix="1">
      <alignment vertical="center"/>
    </xf>
    <xf numFmtId="0" fontId="5" fillId="4" borderId="17" xfId="0" applyFont="1" applyFill="1" applyBorder="1" applyAlignment="1">
      <alignment/>
    </xf>
    <xf numFmtId="0" fontId="5" fillId="4" borderId="0" xfId="0" applyFont="1" applyFill="1" applyBorder="1" applyAlignment="1" quotePrefix="1">
      <alignment vertical="center"/>
    </xf>
    <xf numFmtId="0" fontId="5" fillId="2" borderId="14" xfId="0" applyFont="1" applyFill="1" applyBorder="1" applyAlignment="1">
      <alignment horizontal="center"/>
    </xf>
    <xf numFmtId="3" fontId="5" fillId="2" borderId="1" xfId="0" applyNumberFormat="1" applyFont="1" applyFill="1" applyBorder="1" applyAlignment="1">
      <alignment horizontal="center"/>
    </xf>
    <xf numFmtId="3" fontId="5" fillId="2" borderId="32" xfId="0" applyNumberFormat="1" applyFont="1" applyFill="1" applyBorder="1" applyAlignment="1">
      <alignment horizontal="center"/>
    </xf>
    <xf numFmtId="3" fontId="5" fillId="2" borderId="0" xfId="0" applyNumberFormat="1" applyFont="1" applyFill="1" applyBorder="1" applyAlignment="1">
      <alignment horizontal="center"/>
    </xf>
    <xf numFmtId="9" fontId="6" fillId="2" borderId="0" xfId="0" applyNumberFormat="1" applyFont="1" applyFill="1" applyBorder="1" applyAlignment="1">
      <alignment horizontal="center"/>
    </xf>
    <xf numFmtId="0" fontId="8" fillId="2" borderId="0" xfId="0" applyFont="1" applyFill="1" applyBorder="1" applyAlignment="1">
      <alignment/>
    </xf>
    <xf numFmtId="0" fontId="12" fillId="2" borderId="0" xfId="0" applyFont="1" applyFill="1" applyAlignment="1">
      <alignment/>
    </xf>
    <xf numFmtId="0" fontId="6" fillId="6" borderId="0" xfId="0" applyFont="1" applyFill="1" applyAlignment="1">
      <alignment horizontal="center"/>
    </xf>
    <xf numFmtId="0" fontId="5" fillId="2" borderId="33" xfId="0" applyFont="1" applyFill="1" applyBorder="1" applyAlignment="1">
      <alignment vertical="center" wrapText="1"/>
    </xf>
    <xf numFmtId="0" fontId="5" fillId="2" borderId="14" xfId="0" applyFont="1" applyFill="1" applyBorder="1" applyAlignment="1" quotePrefix="1">
      <alignment horizontal="center" vertical="center" wrapText="1"/>
    </xf>
    <xf numFmtId="0" fontId="5" fillId="2" borderId="0" xfId="0" applyFont="1" applyFill="1" applyBorder="1" applyAlignment="1" applyProtection="1">
      <alignment horizontal="center"/>
      <protection locked="0"/>
    </xf>
    <xf numFmtId="0" fontId="14" fillId="2" borderId="0" xfId="0" applyFont="1" applyFill="1" applyAlignment="1">
      <alignment/>
    </xf>
    <xf numFmtId="0" fontId="13" fillId="2" borderId="0" xfId="0" applyFont="1" applyFill="1" applyBorder="1" applyAlignment="1">
      <alignment horizontal="center"/>
    </xf>
    <xf numFmtId="0" fontId="5" fillId="2" borderId="30" xfId="0" applyFont="1" applyFill="1" applyBorder="1" applyAlignment="1">
      <alignment horizontal="center"/>
    </xf>
    <xf numFmtId="0" fontId="13" fillId="2" borderId="0" xfId="0" applyFont="1" applyFill="1" applyBorder="1" applyAlignment="1">
      <alignment horizontal="left"/>
    </xf>
    <xf numFmtId="0" fontId="15" fillId="2" borderId="0" xfId="0" applyFont="1" applyFill="1" applyBorder="1" applyAlignment="1">
      <alignment horizontal="left"/>
    </xf>
    <xf numFmtId="4" fontId="5" fillId="2" borderId="0" xfId="0" applyNumberFormat="1" applyFont="1" applyFill="1" applyBorder="1" applyAlignment="1">
      <alignment horizontal="center"/>
    </xf>
    <xf numFmtId="183" fontId="5" fillId="2" borderId="32"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left"/>
    </xf>
    <xf numFmtId="0" fontId="5" fillId="9" borderId="13" xfId="0" applyFont="1" applyFill="1" applyBorder="1" applyAlignment="1">
      <alignment horizontal="center"/>
    </xf>
    <xf numFmtId="0" fontId="5" fillId="9" borderId="0" xfId="0" applyFont="1" applyFill="1" applyBorder="1" applyAlignment="1">
      <alignment/>
    </xf>
    <xf numFmtId="0" fontId="5" fillId="9" borderId="0" xfId="0" applyFont="1" applyFill="1" applyBorder="1" applyAlignment="1">
      <alignment horizontal="right"/>
    </xf>
    <xf numFmtId="0" fontId="5" fillId="9" borderId="33" xfId="0" applyFont="1" applyFill="1" applyBorder="1" applyAlignment="1">
      <alignment horizontal="center"/>
    </xf>
    <xf numFmtId="0" fontId="5" fillId="9" borderId="1" xfId="0" applyFont="1" applyFill="1" applyBorder="1" applyAlignment="1">
      <alignment/>
    </xf>
    <xf numFmtId="0" fontId="6" fillId="9" borderId="0" xfId="0" applyFont="1" applyFill="1" applyBorder="1" applyAlignment="1">
      <alignment horizontal="right"/>
    </xf>
    <xf numFmtId="0" fontId="8" fillId="9" borderId="0" xfId="0" applyFont="1" applyFill="1" applyBorder="1" applyAlignment="1">
      <alignment/>
    </xf>
    <xf numFmtId="0" fontId="8" fillId="9" borderId="1" xfId="0" applyFont="1" applyFill="1" applyBorder="1" applyAlignment="1">
      <alignment/>
    </xf>
    <xf numFmtId="0" fontId="5" fillId="2" borderId="0" xfId="0" applyFont="1" applyFill="1" applyBorder="1" applyAlignment="1">
      <alignment horizontal="right"/>
    </xf>
    <xf numFmtId="0" fontId="6" fillId="2" borderId="0" xfId="0" applyFont="1" applyFill="1" applyBorder="1" applyAlignment="1">
      <alignment horizontal="center"/>
    </xf>
    <xf numFmtId="0" fontId="6" fillId="2" borderId="0" xfId="0" applyFont="1" applyFill="1" applyBorder="1" applyAlignment="1">
      <alignment horizontal="right"/>
    </xf>
    <xf numFmtId="17" fontId="5" fillId="2" borderId="0" xfId="0" applyNumberFormat="1" applyFont="1" applyFill="1" applyAlignment="1" quotePrefix="1">
      <alignment horizontal="center"/>
    </xf>
    <xf numFmtId="0" fontId="5" fillId="2" borderId="0" xfId="0" applyFont="1" applyFill="1" applyBorder="1" applyAlignment="1" applyProtection="1">
      <alignment horizontal="left"/>
      <protection locked="0"/>
    </xf>
    <xf numFmtId="49" fontId="5" fillId="2" borderId="0" xfId="0" applyNumberFormat="1" applyFont="1" applyFill="1" applyBorder="1" applyAlignment="1" applyProtection="1">
      <alignment horizontal="left"/>
      <protection locked="0"/>
    </xf>
    <xf numFmtId="0" fontId="17" fillId="2" borderId="0" xfId="0" applyFont="1" applyFill="1" applyAlignment="1">
      <alignment/>
    </xf>
    <xf numFmtId="0" fontId="5" fillId="2" borderId="0" xfId="0" applyFont="1" applyFill="1" applyAlignment="1">
      <alignment horizontal="right"/>
    </xf>
    <xf numFmtId="0" fontId="5" fillId="5" borderId="0" xfId="0" applyFont="1" applyFill="1" applyAlignment="1">
      <alignment horizontal="right"/>
    </xf>
    <xf numFmtId="1" fontId="5" fillId="5" borderId="28" xfId="0" applyNumberFormat="1" applyFont="1" applyFill="1" applyBorder="1" applyAlignment="1">
      <alignment horizontal="center"/>
    </xf>
    <xf numFmtId="0" fontId="5" fillId="4" borderId="13" xfId="0" applyFont="1" applyFill="1" applyBorder="1" applyAlignment="1">
      <alignment horizontal="center"/>
    </xf>
    <xf numFmtId="0" fontId="5" fillId="5" borderId="0" xfId="0" applyFont="1" applyFill="1" applyAlignment="1">
      <alignment vertical="center"/>
    </xf>
    <xf numFmtId="0" fontId="5" fillId="5" borderId="0" xfId="0" applyFont="1" applyFill="1" applyAlignment="1">
      <alignment horizontal="center" vertical="center" wrapText="1"/>
    </xf>
    <xf numFmtId="0" fontId="5" fillId="5" borderId="0" xfId="0" applyFont="1" applyFill="1" applyAlignment="1">
      <alignment horizontal="center"/>
    </xf>
    <xf numFmtId="0" fontId="5" fillId="3" borderId="22" xfId="0" applyFont="1" applyFill="1" applyBorder="1" applyAlignment="1">
      <alignment/>
    </xf>
    <xf numFmtId="0" fontId="5" fillId="2" borderId="20" xfId="0" applyFont="1" applyFill="1" applyBorder="1" applyAlignment="1">
      <alignment/>
    </xf>
    <xf numFmtId="0" fontId="5" fillId="2" borderId="24" xfId="0" applyFont="1" applyFill="1" applyBorder="1" applyAlignment="1">
      <alignment/>
    </xf>
    <xf numFmtId="0" fontId="6" fillId="10" borderId="0" xfId="0" applyFont="1" applyFill="1" applyAlignment="1">
      <alignment/>
    </xf>
    <xf numFmtId="0" fontId="5" fillId="10" borderId="0" xfId="0" applyFont="1" applyFill="1" applyAlignment="1">
      <alignment horizontal="center"/>
    </xf>
    <xf numFmtId="0" fontId="5" fillId="10" borderId="0" xfId="0" applyFont="1" applyFill="1" applyAlignment="1">
      <alignment/>
    </xf>
    <xf numFmtId="0" fontId="5" fillId="10" borderId="0" xfId="0" applyFont="1" applyFill="1" applyAlignment="1" applyProtection="1">
      <alignment horizontal="center"/>
      <protection locked="0"/>
    </xf>
    <xf numFmtId="0" fontId="9" fillId="10" borderId="0" xfId="0" applyFont="1" applyFill="1" applyAlignment="1">
      <alignment horizontal="center"/>
    </xf>
    <xf numFmtId="0" fontId="5" fillId="8" borderId="0" xfId="0" applyFont="1" applyFill="1" applyAlignment="1">
      <alignment/>
    </xf>
    <xf numFmtId="0" fontId="5" fillId="8" borderId="0" xfId="0" applyFont="1" applyFill="1" applyAlignment="1">
      <alignment horizontal="center"/>
    </xf>
    <xf numFmtId="0" fontId="5" fillId="8" borderId="0" xfId="0" applyFont="1" applyFill="1" applyBorder="1" applyAlignment="1">
      <alignment/>
    </xf>
    <xf numFmtId="0" fontId="5" fillId="8" borderId="0" xfId="0" applyFont="1" applyFill="1" applyBorder="1" applyAlignment="1">
      <alignment horizontal="center"/>
    </xf>
    <xf numFmtId="0" fontId="5" fillId="8" borderId="3" xfId="0" applyFont="1" applyFill="1" applyBorder="1" applyAlignment="1" applyProtection="1">
      <alignment horizontal="center"/>
      <protection locked="0"/>
    </xf>
    <xf numFmtId="0" fontId="6" fillId="9" borderId="34" xfId="0" applyFont="1" applyFill="1" applyBorder="1" applyAlignment="1">
      <alignment horizontal="center"/>
    </xf>
    <xf numFmtId="0" fontId="9" fillId="8" borderId="0" xfId="0" applyFont="1" applyFill="1" applyAlignment="1">
      <alignment horizontal="center"/>
    </xf>
    <xf numFmtId="0" fontId="6" fillId="8" borderId="0" xfId="0" applyFont="1" applyFill="1" applyAlignment="1">
      <alignment/>
    </xf>
    <xf numFmtId="0" fontId="5" fillId="8" borderId="0" xfId="0" applyFont="1" applyFill="1" applyBorder="1" applyAlignment="1" applyProtection="1">
      <alignment horizontal="center"/>
      <protection locked="0"/>
    </xf>
    <xf numFmtId="20" fontId="5" fillId="10" borderId="35" xfId="0" applyNumberFormat="1" applyFont="1" applyFill="1" applyBorder="1" applyAlignment="1">
      <alignment horizontal="center" vertical="center" wrapText="1"/>
    </xf>
    <xf numFmtId="0" fontId="5" fillId="8" borderId="11" xfId="0" applyFont="1" applyFill="1" applyBorder="1" applyAlignment="1">
      <alignment vertical="center"/>
    </xf>
    <xf numFmtId="0" fontId="5" fillId="8" borderId="25" xfId="0" applyFont="1" applyFill="1" applyBorder="1" applyAlignment="1">
      <alignment vertical="center"/>
    </xf>
    <xf numFmtId="0" fontId="5" fillId="8" borderId="11" xfId="0" applyFont="1" applyFill="1" applyBorder="1" applyAlignment="1">
      <alignment vertical="center" wrapText="1"/>
    </xf>
    <xf numFmtId="0" fontId="5" fillId="8" borderId="13" xfId="0" applyFont="1" applyFill="1" applyBorder="1" applyAlignment="1">
      <alignment vertical="center" wrapText="1"/>
    </xf>
    <xf numFmtId="0" fontId="5" fillId="8" borderId="33" xfId="0" applyFont="1" applyFill="1" applyBorder="1" applyAlignment="1">
      <alignment vertical="center"/>
    </xf>
    <xf numFmtId="20" fontId="5" fillId="8" borderId="36" xfId="0" applyNumberFormat="1" applyFont="1" applyFill="1" applyBorder="1" applyAlignment="1">
      <alignment horizontal="center" vertical="center" wrapText="1"/>
    </xf>
    <xf numFmtId="20" fontId="5" fillId="8" borderId="37" xfId="0" applyNumberFormat="1" applyFont="1" applyFill="1" applyBorder="1" applyAlignment="1">
      <alignment horizontal="center" vertical="center" wrapText="1"/>
    </xf>
    <xf numFmtId="20" fontId="5" fillId="8" borderId="35" xfId="0" applyNumberFormat="1" applyFont="1" applyFill="1" applyBorder="1" applyAlignment="1">
      <alignment horizontal="center" vertical="center" wrapText="1"/>
    </xf>
    <xf numFmtId="0" fontId="7" fillId="11" borderId="7" xfId="0" applyFont="1" applyFill="1" applyBorder="1" applyAlignment="1">
      <alignment horizontal="center"/>
    </xf>
    <xf numFmtId="0" fontId="6" fillId="11" borderId="9" xfId="0" applyFont="1" applyFill="1" applyBorder="1" applyAlignment="1">
      <alignment vertical="center" wrapText="1"/>
    </xf>
    <xf numFmtId="0" fontId="5" fillId="11" borderId="38"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6" fillId="11" borderId="9" xfId="0" applyFont="1" applyFill="1" applyBorder="1" applyAlignment="1">
      <alignment vertical="center"/>
    </xf>
    <xf numFmtId="0" fontId="5" fillId="11" borderId="9" xfId="0" applyFont="1" applyFill="1" applyBorder="1" applyAlignment="1">
      <alignment horizontal="center" vertical="center"/>
    </xf>
    <xf numFmtId="0" fontId="5" fillId="9" borderId="1" xfId="0" applyFont="1" applyFill="1" applyBorder="1" applyAlignment="1">
      <alignment horizontal="left"/>
    </xf>
    <xf numFmtId="9" fontId="5" fillId="9" borderId="14" xfId="0" applyNumberFormat="1" applyFont="1" applyFill="1" applyBorder="1" applyAlignment="1">
      <alignment horizontal="center"/>
    </xf>
    <xf numFmtId="0" fontId="5" fillId="9" borderId="1" xfId="0" applyFont="1" applyFill="1" applyBorder="1" applyAlignment="1">
      <alignment horizontal="right"/>
    </xf>
    <xf numFmtId="0" fontId="8" fillId="2" borderId="34" xfId="0" applyFont="1" applyFill="1" applyBorder="1" applyAlignment="1">
      <alignment/>
    </xf>
    <xf numFmtId="0" fontId="8" fillId="2" borderId="14" xfId="0" applyFont="1" applyFill="1" applyBorder="1" applyAlignment="1">
      <alignment/>
    </xf>
    <xf numFmtId="0" fontId="9" fillId="2" borderId="13" xfId="0" applyFont="1" applyFill="1" applyBorder="1" applyAlignment="1">
      <alignment horizontal="center"/>
    </xf>
    <xf numFmtId="0" fontId="8" fillId="2" borderId="32" xfId="0" applyFont="1" applyFill="1" applyBorder="1" applyAlignment="1">
      <alignment/>
    </xf>
    <xf numFmtId="0" fontId="5" fillId="9" borderId="0" xfId="0" applyNumberFormat="1" applyFont="1" applyFill="1" applyBorder="1" applyAlignment="1">
      <alignment horizontal="center"/>
    </xf>
    <xf numFmtId="0" fontId="5" fillId="9" borderId="14" xfId="0" applyNumberFormat="1" applyFont="1" applyFill="1" applyBorder="1" applyAlignment="1">
      <alignment horizontal="center"/>
    </xf>
    <xf numFmtId="0" fontId="6" fillId="9" borderId="30" xfId="0" applyFont="1" applyFill="1" applyBorder="1" applyAlignment="1">
      <alignment horizontal="left"/>
    </xf>
    <xf numFmtId="0" fontId="8" fillId="9" borderId="3" xfId="0" applyFont="1" applyFill="1" applyBorder="1" applyAlignment="1">
      <alignment/>
    </xf>
    <xf numFmtId="0" fontId="6" fillId="9" borderId="13" xfId="0" applyFont="1" applyFill="1" applyBorder="1" applyAlignment="1">
      <alignment horizontal="left"/>
    </xf>
    <xf numFmtId="0" fontId="6" fillId="9" borderId="33" xfId="0" applyFont="1" applyFill="1" applyBorder="1" applyAlignment="1">
      <alignment horizontal="left"/>
    </xf>
    <xf numFmtId="3" fontId="5" fillId="8" borderId="1" xfId="0" applyNumberFormat="1" applyFont="1" applyFill="1" applyBorder="1" applyAlignment="1">
      <alignment/>
    </xf>
    <xf numFmtId="0" fontId="4" fillId="2" borderId="1" xfId="0" applyFont="1" applyFill="1" applyBorder="1" applyAlignment="1">
      <alignment horizontal="left"/>
    </xf>
    <xf numFmtId="0" fontId="5" fillId="4" borderId="3" xfId="0" applyFont="1" applyFill="1" applyBorder="1" applyAlignment="1" applyProtection="1">
      <alignment/>
      <protection locked="0"/>
    </xf>
    <xf numFmtId="0" fontId="5" fillId="4" borderId="0" xfId="0" applyNumberFormat="1" applyFont="1" applyFill="1" applyBorder="1" applyAlignment="1" applyProtection="1">
      <alignment/>
      <protection locked="0"/>
    </xf>
    <xf numFmtId="0" fontId="9" fillId="8" borderId="0" xfId="0" applyFont="1" applyFill="1" applyBorder="1" applyAlignment="1">
      <alignment horizontal="center"/>
    </xf>
    <xf numFmtId="0" fontId="8" fillId="8" borderId="0" xfId="0" applyFont="1" applyFill="1" applyBorder="1" applyAlignment="1">
      <alignment/>
    </xf>
    <xf numFmtId="0" fontId="6" fillId="9" borderId="1" xfId="0" applyFont="1" applyFill="1" applyBorder="1" applyAlignment="1">
      <alignment horizontal="left"/>
    </xf>
    <xf numFmtId="0" fontId="8" fillId="8" borderId="1" xfId="0" applyFont="1" applyFill="1" applyBorder="1" applyAlignment="1">
      <alignment/>
    </xf>
    <xf numFmtId="0" fontId="5" fillId="8" borderId="0" xfId="0" applyFont="1" applyFill="1" applyBorder="1" applyAlignment="1" applyProtection="1">
      <alignment horizontal="center"/>
      <protection/>
    </xf>
    <xf numFmtId="0" fontId="19" fillId="10" borderId="0" xfId="0" applyFont="1" applyFill="1" applyAlignment="1">
      <alignment/>
    </xf>
    <xf numFmtId="0" fontId="19" fillId="2" borderId="0" xfId="0" applyFont="1" applyFill="1" applyAlignment="1">
      <alignment/>
    </xf>
    <xf numFmtId="0" fontId="20" fillId="2" borderId="0" xfId="0" applyFont="1" applyFill="1" applyAlignment="1">
      <alignment/>
    </xf>
    <xf numFmtId="0" fontId="21" fillId="2" borderId="0" xfId="0" applyFont="1" applyFill="1" applyAlignment="1">
      <alignment/>
    </xf>
    <xf numFmtId="0" fontId="19" fillId="2" borderId="0" xfId="0" applyFont="1" applyFill="1" applyBorder="1" applyAlignment="1">
      <alignment/>
    </xf>
    <xf numFmtId="0" fontId="8" fillId="4" borderId="0" xfId="0" applyFont="1" applyFill="1" applyBorder="1" applyAlignment="1" applyProtection="1">
      <alignment/>
      <protection locked="0"/>
    </xf>
    <xf numFmtId="0" fontId="8" fillId="4" borderId="3" xfId="0" applyFont="1" applyFill="1" applyBorder="1" applyAlignment="1" applyProtection="1">
      <alignment/>
      <protection locked="0"/>
    </xf>
    <xf numFmtId="0" fontId="22" fillId="2" borderId="0" xfId="0" applyFont="1" applyFill="1" applyAlignment="1">
      <alignment horizontal="center"/>
    </xf>
    <xf numFmtId="0" fontId="23" fillId="2" borderId="0" xfId="0" applyFont="1" applyFill="1" applyAlignment="1">
      <alignment/>
    </xf>
    <xf numFmtId="0" fontId="24" fillId="2" borderId="39" xfId="0" applyFont="1" applyFill="1" applyBorder="1" applyAlignment="1">
      <alignment vertical="center" wrapText="1"/>
    </xf>
    <xf numFmtId="0" fontId="23" fillId="2" borderId="0" xfId="16" applyFont="1" applyFill="1" applyAlignment="1">
      <alignment vertical="top" wrapText="1"/>
    </xf>
    <xf numFmtId="0" fontId="25" fillId="2" borderId="0" xfId="16" applyFont="1" applyFill="1" applyAlignment="1">
      <alignment horizontal="center" vertical="top"/>
    </xf>
    <xf numFmtId="0" fontId="23" fillId="8" borderId="40" xfId="0" applyNumberFormat="1" applyFont="1" applyFill="1" applyBorder="1" applyAlignment="1">
      <alignment vertical="center" wrapText="1"/>
    </xf>
    <xf numFmtId="0" fontId="5" fillId="2" borderId="0" xfId="0" applyFont="1" applyFill="1" applyBorder="1" applyAlignment="1">
      <alignment horizontal="center"/>
    </xf>
    <xf numFmtId="0" fontId="13" fillId="2" borderId="0" xfId="0" applyFont="1" applyFill="1" applyBorder="1" applyAlignment="1">
      <alignment horizontal="left"/>
    </xf>
    <xf numFmtId="0" fontId="13" fillId="2" borderId="0" xfId="0" applyFont="1" applyFill="1" applyAlignment="1">
      <alignment horizontal="left"/>
    </xf>
    <xf numFmtId="0" fontId="6" fillId="9" borderId="3" xfId="0" applyFont="1" applyFill="1" applyBorder="1" applyAlignment="1">
      <alignment horizontal="center"/>
    </xf>
    <xf numFmtId="0" fontId="6" fillId="9" borderId="34" xfId="0" applyFont="1" applyFill="1" applyBorder="1" applyAlignment="1">
      <alignment horizontal="center"/>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19">
    <dxf>
      <fill>
        <patternFill>
          <bgColor rgb="FFFF0000"/>
        </patternFill>
      </fill>
      <border/>
    </dxf>
    <dxf>
      <font>
        <color rgb="FFCCFFFF"/>
      </font>
      <border/>
    </dxf>
    <dxf>
      <font>
        <color rgb="FF99CCFF"/>
      </font>
      <border/>
    </dxf>
    <dxf>
      <font>
        <color rgb="FF99CCFF"/>
      </font>
      <border>
        <left>
          <color rgb="FF000000"/>
        </left>
        <right>
          <color rgb="FF000000"/>
        </right>
        <bottom>
          <color rgb="FF000000"/>
        </bottom>
      </border>
    </dxf>
    <dxf>
      <font>
        <color rgb="FF99CCFF"/>
      </font>
      <border>
        <left>
          <color rgb="FF000000"/>
        </left>
        <right>
          <color rgb="FF000000"/>
        </right>
        <top>
          <color rgb="FF000000"/>
        </top>
        <bottom>
          <color rgb="FF000000"/>
        </bottom>
      </border>
    </dxf>
    <dxf>
      <font>
        <color rgb="FFCCFFFF"/>
      </font>
      <border>
        <left>
          <color rgb="FF000000"/>
        </left>
        <right>
          <color rgb="FF000000"/>
        </right>
        <top>
          <color rgb="FF000000"/>
        </top>
        <bottom>
          <color rgb="FF000000"/>
        </bottom>
      </border>
    </dxf>
    <dxf>
      <font>
        <color rgb="FFCCFFFF"/>
      </font>
      <border>
        <left>
          <color rgb="FF000000"/>
        </left>
        <right>
          <color rgb="FF000000"/>
        </right>
      </border>
    </dxf>
    <dxf>
      <font>
        <color rgb="FFCCFFFF"/>
      </font>
      <border>
        <left>
          <color rgb="FF000000"/>
        </left>
        <right>
          <color rgb="FF000000"/>
        </right>
        <bottom>
          <color rgb="FF000000"/>
        </bottom>
      </border>
    </dxf>
    <dxf>
      <font>
        <b/>
        <i val="0"/>
        <color rgb="FFCCFFFF"/>
      </font>
      <border>
        <left>
          <color rgb="FF000000"/>
        </left>
        <right>
          <color rgb="FF000000"/>
        </right>
        <top>
          <color rgb="FF000000"/>
        </top>
        <bottom>
          <color rgb="FF000000"/>
        </bottom>
      </border>
    </dxf>
    <dxf>
      <font>
        <b/>
        <i val="0"/>
        <color rgb="FFCCFFFF"/>
      </font>
      <border/>
    </dxf>
    <dxf>
      <font>
        <b/>
        <i val="0"/>
        <color rgb="FF8FCAE7"/>
      </font>
      <border/>
    </dxf>
    <dxf>
      <font>
        <color rgb="FFFFFFFF"/>
      </font>
      <border/>
    </dxf>
    <dxf>
      <font>
        <color rgb="FF8FCAE7"/>
      </font>
      <border>
        <left>
          <color rgb="FF000000"/>
        </left>
        <right>
          <color rgb="FF000000"/>
        </right>
        <top>
          <color rgb="FF000000"/>
        </top>
        <bottom>
          <color rgb="FF000000"/>
        </bottom>
      </border>
    </dxf>
    <dxf>
      <font>
        <color rgb="FF8FCAE7"/>
      </font>
      <border/>
    </dxf>
    <dxf>
      <font>
        <b/>
        <i val="0"/>
        <color rgb="FF8FCAE7"/>
      </font>
      <border>
        <left>
          <color rgb="FF000000"/>
        </left>
        <right>
          <color rgb="FF000000"/>
        </right>
        <top>
          <color rgb="FF000000"/>
        </top>
        <bottom>
          <color rgb="FF000000"/>
        </bottom>
      </border>
    </dxf>
    <dxf>
      <font>
        <color auto="1"/>
      </font>
      <fill>
        <patternFill>
          <bgColor rgb="FFC0C0C0"/>
        </patternFill>
      </fill>
      <border/>
    </dxf>
    <dxf>
      <fill>
        <patternFill>
          <bgColor rgb="FFFFCC00"/>
        </patternFill>
      </fill>
      <border/>
    </dxf>
    <dxf>
      <fill>
        <patternFill>
          <bgColor rgb="FF39870C"/>
        </patternFill>
      </fill>
      <border/>
    </dxf>
    <dxf>
      <fill>
        <patternFill>
          <bgColor rgb="FF76D2B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75937"/>
      <rgbColor rgb="0039870C"/>
      <rgbColor rgb="0076D2B6"/>
      <rgbColor rgb="008FCAE7"/>
      <rgbColor rgb="00007BC7"/>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342900</xdr:colOff>
      <xdr:row>0</xdr:row>
      <xdr:rowOff>0</xdr:rowOff>
    </xdr:from>
    <xdr:to>
      <xdr:col>2</xdr:col>
      <xdr:colOff>257175</xdr:colOff>
      <xdr:row>9</xdr:row>
      <xdr:rowOff>161925</xdr:rowOff>
    </xdr:to>
    <xdr:pic>
      <xdr:nvPicPr>
        <xdr:cNvPr id="1" name="Picture 1"/>
        <xdr:cNvPicPr preferRelativeResize="1">
          <a:picLocks noChangeAspect="1"/>
        </xdr:cNvPicPr>
      </xdr:nvPicPr>
      <xdr:blipFill>
        <a:blip r:embed="rId1"/>
        <a:stretch>
          <a:fillRect/>
        </a:stretch>
      </xdr:blipFill>
      <xdr:spPr>
        <a:xfrm>
          <a:off x="342900" y="0"/>
          <a:ext cx="5400675" cy="1876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21</xdr:row>
      <xdr:rowOff>152400</xdr:rowOff>
    </xdr:from>
    <xdr:to>
      <xdr:col>2</xdr:col>
      <xdr:colOff>1285875</xdr:colOff>
      <xdr:row>22</xdr:row>
      <xdr:rowOff>161925</xdr:rowOff>
    </xdr:to>
    <xdr:sp>
      <xdr:nvSpPr>
        <xdr:cNvPr id="1" name="Line 1"/>
        <xdr:cNvSpPr>
          <a:spLocks/>
        </xdr:cNvSpPr>
      </xdr:nvSpPr>
      <xdr:spPr>
        <a:xfrm>
          <a:off x="4086225" y="4819650"/>
          <a:ext cx="0" cy="180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1276350</xdr:colOff>
      <xdr:row>21</xdr:row>
      <xdr:rowOff>152400</xdr:rowOff>
    </xdr:from>
    <xdr:to>
      <xdr:col>3</xdr:col>
      <xdr:colOff>1276350</xdr:colOff>
      <xdr:row>22</xdr:row>
      <xdr:rowOff>161925</xdr:rowOff>
    </xdr:to>
    <xdr:sp>
      <xdr:nvSpPr>
        <xdr:cNvPr id="2" name="Line 2"/>
        <xdr:cNvSpPr>
          <a:spLocks/>
        </xdr:cNvSpPr>
      </xdr:nvSpPr>
      <xdr:spPr>
        <a:xfrm>
          <a:off x="7038975" y="4819650"/>
          <a:ext cx="0" cy="180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1295400</xdr:colOff>
      <xdr:row>21</xdr:row>
      <xdr:rowOff>152400</xdr:rowOff>
    </xdr:from>
    <xdr:to>
      <xdr:col>4</xdr:col>
      <xdr:colOff>1295400</xdr:colOff>
      <xdr:row>22</xdr:row>
      <xdr:rowOff>161925</xdr:rowOff>
    </xdr:to>
    <xdr:sp>
      <xdr:nvSpPr>
        <xdr:cNvPr id="3" name="Line 3"/>
        <xdr:cNvSpPr>
          <a:spLocks/>
        </xdr:cNvSpPr>
      </xdr:nvSpPr>
      <xdr:spPr>
        <a:xfrm>
          <a:off x="10020300" y="4819650"/>
          <a:ext cx="0" cy="180975"/>
        </a:xfrm>
        <a:prstGeom prst="line">
          <a:avLst/>
        </a:prstGeom>
        <a:noFill/>
        <a:ln w="76200" cmpd="sng">
          <a:solidFill>
            <a:srgbClr val="C0C0C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Blad3"/>
  <dimension ref="B10:G24"/>
  <sheetViews>
    <sheetView tabSelected="1" workbookViewId="0" topLeftCell="A1">
      <selection activeCell="B19" sqref="B19"/>
    </sheetView>
  </sheetViews>
  <sheetFormatPr defaultColWidth="9.140625" defaultRowHeight="12.75"/>
  <cols>
    <col min="1" max="1" width="9.140625" style="248" customWidth="1"/>
    <col min="2" max="2" width="73.140625" style="248" customWidth="1"/>
    <col min="3" max="16384" width="9.140625" style="248" customWidth="1"/>
  </cols>
  <sheetData>
    <row r="1" ht="15"/>
    <row r="2" ht="15"/>
    <row r="3" ht="15"/>
    <row r="4" ht="15"/>
    <row r="5" ht="15"/>
    <row r="6" ht="15"/>
    <row r="7" ht="15"/>
    <row r="8" ht="15"/>
    <row r="9" ht="15"/>
    <row r="10" ht="15">
      <c r="B10" s="247"/>
    </row>
    <row r="12" ht="24.75">
      <c r="B12" s="249" t="s">
        <v>321</v>
      </c>
    </row>
    <row r="13" ht="15">
      <c r="B13" s="250"/>
    </row>
    <row r="14" ht="15">
      <c r="B14" s="254" t="s">
        <v>325</v>
      </c>
    </row>
    <row r="15" ht="15.75" thickBot="1">
      <c r="B15" s="255"/>
    </row>
    <row r="16" ht="129" thickBot="1">
      <c r="B16" s="256" t="s">
        <v>327</v>
      </c>
    </row>
    <row r="17" ht="15">
      <c r="B17" s="255"/>
    </row>
    <row r="18" ht="46.5" customHeight="1">
      <c r="B18" s="257" t="s">
        <v>328</v>
      </c>
    </row>
    <row r="19" ht="15">
      <c r="B19" s="255"/>
    </row>
    <row r="20" ht="15">
      <c r="B20" s="258" t="s">
        <v>322</v>
      </c>
    </row>
    <row r="21" ht="15">
      <c r="B21" s="255"/>
    </row>
    <row r="22" spans="2:7" ht="71.25">
      <c r="B22" s="259" t="s">
        <v>326</v>
      </c>
      <c r="G22" s="251"/>
    </row>
    <row r="24" ht="15">
      <c r="B24" s="247"/>
    </row>
  </sheetData>
  <sheetProtection password="DDE7" sheet="1" objects="1" scenarios="1"/>
  <printOptions/>
  <pageMargins left="0.75" right="0.75" top="1" bottom="1" header="0.5" footer="0.5"/>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sheetPr codeName="Blad1"/>
  <dimension ref="A2:Q98"/>
  <sheetViews>
    <sheetView zoomScaleSheetLayoutView="100" workbookViewId="0" topLeftCell="B1">
      <selection activeCell="D23" sqref="D23"/>
    </sheetView>
  </sheetViews>
  <sheetFormatPr defaultColWidth="9.140625" defaultRowHeight="12.75"/>
  <cols>
    <col min="1" max="1" width="1.421875" style="114" customWidth="1"/>
    <col min="2" max="2" width="0.85546875" style="6" customWidth="1"/>
    <col min="3" max="3" width="3.28125" style="5" customWidth="1"/>
    <col min="4" max="4" width="97.140625" style="6" bestFit="1" customWidth="1"/>
    <col min="5" max="5" width="20.28125" style="118" customWidth="1"/>
    <col min="6" max="6" width="1.8515625" style="115" customWidth="1"/>
    <col min="7" max="7" width="2.57421875" style="115" customWidth="1"/>
    <col min="8" max="8" width="8.8515625" style="115" hidden="1" customWidth="1"/>
    <col min="9" max="9" width="2.7109375" style="115" hidden="1" customWidth="1"/>
    <col min="10" max="10" width="6.421875" style="117" customWidth="1"/>
    <col min="11" max="11" width="6.421875" style="114" customWidth="1"/>
    <col min="12" max="12" width="11.8515625" style="114" customWidth="1"/>
    <col min="13" max="16" width="8.8515625" style="114" customWidth="1"/>
    <col min="17" max="16384" width="9.140625" style="114" customWidth="1"/>
  </cols>
  <sheetData>
    <row r="1" ht="15"/>
    <row r="2" spans="2:10" s="111" customFormat="1" ht="15.75" hidden="1" thickBot="1">
      <c r="B2" s="1" t="s">
        <v>86</v>
      </c>
      <c r="C2" s="2"/>
      <c r="D2" s="14"/>
      <c r="E2" s="161"/>
      <c r="F2" s="113"/>
      <c r="G2" s="113"/>
      <c r="H2" s="113"/>
      <c r="I2" s="113"/>
      <c r="J2" s="113"/>
    </row>
    <row r="3" spans="3:5" ht="15">
      <c r="C3" s="261" t="s">
        <v>247</v>
      </c>
      <c r="D3" s="261"/>
      <c r="E3" s="261"/>
    </row>
    <row r="4" spans="3:5" ht="15">
      <c r="C4" s="169" t="s">
        <v>248</v>
      </c>
      <c r="D4" s="166"/>
      <c r="E4" s="163"/>
    </row>
    <row r="5" spans="2:6" ht="15">
      <c r="B5" s="114"/>
      <c r="C5" s="114"/>
      <c r="E5" s="5"/>
      <c r="F5" s="114"/>
    </row>
    <row r="6" spans="2:10" ht="15.75" thickBot="1">
      <c r="B6" s="196" t="s">
        <v>171</v>
      </c>
      <c r="C6" s="197"/>
      <c r="D6" s="198"/>
      <c r="E6" s="199"/>
      <c r="F6" s="200"/>
      <c r="J6" s="170" t="s">
        <v>320</v>
      </c>
    </row>
    <row r="7" spans="1:9" ht="15.75" thickBot="1">
      <c r="A7" s="6"/>
      <c r="B7" s="201"/>
      <c r="C7" s="202" t="s">
        <v>2</v>
      </c>
      <c r="D7" s="201" t="s">
        <v>199</v>
      </c>
      <c r="E7" s="120"/>
      <c r="F7" s="207"/>
      <c r="I7" s="115">
        <f aca="true" t="shared" si="0" ref="I7:I12">IF(E7=0,1,0)</f>
        <v>1</v>
      </c>
    </row>
    <row r="8" spans="1:16" ht="14.25" thickBot="1">
      <c r="A8" s="6"/>
      <c r="B8" s="201"/>
      <c r="C8" s="202" t="s">
        <v>3</v>
      </c>
      <c r="D8" s="201" t="s">
        <v>5</v>
      </c>
      <c r="E8" s="120"/>
      <c r="F8" s="207"/>
      <c r="I8" s="115">
        <f t="shared" si="0"/>
        <v>1</v>
      </c>
      <c r="J8" s="164"/>
      <c r="K8" s="82"/>
      <c r="L8" s="82"/>
      <c r="M8" s="263" t="s">
        <v>299</v>
      </c>
      <c r="N8" s="263"/>
      <c r="O8" s="263"/>
      <c r="P8" s="264"/>
    </row>
    <row r="9" spans="1:16" ht="14.25" thickBot="1">
      <c r="A9" s="6"/>
      <c r="B9" s="201"/>
      <c r="C9" s="202" t="s">
        <v>0</v>
      </c>
      <c r="D9" s="201" t="s">
        <v>303</v>
      </c>
      <c r="E9" s="120"/>
      <c r="F9" s="207"/>
      <c r="I9" s="115">
        <f t="shared" si="0"/>
        <v>1</v>
      </c>
      <c r="J9" s="171"/>
      <c r="K9" s="172"/>
      <c r="L9" s="176" t="s">
        <v>317</v>
      </c>
      <c r="M9" s="232">
        <v>100</v>
      </c>
      <c r="N9" s="232">
        <v>75</v>
      </c>
      <c r="O9" s="232">
        <v>50</v>
      </c>
      <c r="P9" s="233">
        <v>25</v>
      </c>
    </row>
    <row r="10" spans="1:16" ht="15.75" thickBot="1">
      <c r="A10" s="6"/>
      <c r="B10" s="203"/>
      <c r="C10" s="204" t="s">
        <v>1</v>
      </c>
      <c r="D10" s="203" t="s">
        <v>268</v>
      </c>
      <c r="E10" s="120"/>
      <c r="F10" s="207"/>
      <c r="I10" s="115">
        <f t="shared" si="0"/>
        <v>1</v>
      </c>
      <c r="J10" s="171"/>
      <c r="K10" s="172" t="s">
        <v>293</v>
      </c>
      <c r="L10" s="177"/>
      <c r="M10" s="13">
        <v>32</v>
      </c>
      <c r="N10" s="13">
        <v>24</v>
      </c>
      <c r="O10" s="13">
        <v>16</v>
      </c>
      <c r="P10" s="151">
        <v>8</v>
      </c>
    </row>
    <row r="11" spans="1:16" ht="15.75" thickBot="1">
      <c r="A11" s="6"/>
      <c r="B11" s="201"/>
      <c r="C11" s="202" t="s">
        <v>4</v>
      </c>
      <c r="D11" s="201" t="s">
        <v>98</v>
      </c>
      <c r="E11" s="120"/>
      <c r="F11" s="207"/>
      <c r="I11" s="115">
        <f t="shared" si="0"/>
        <v>1</v>
      </c>
      <c r="J11" s="174"/>
      <c r="K11" s="225" t="s">
        <v>294</v>
      </c>
      <c r="L11" s="178"/>
      <c r="M11" s="152">
        <v>31536</v>
      </c>
      <c r="N11" s="152">
        <v>23652</v>
      </c>
      <c r="O11" s="152">
        <v>15768</v>
      </c>
      <c r="P11" s="153">
        <v>7884</v>
      </c>
    </row>
    <row r="12" spans="1:9" ht="15.75" thickBot="1">
      <c r="A12" s="6"/>
      <c r="B12" s="201"/>
      <c r="C12" s="202" t="s">
        <v>6</v>
      </c>
      <c r="D12" s="201" t="s">
        <v>135</v>
      </c>
      <c r="E12" s="120"/>
      <c r="F12" s="207"/>
      <c r="I12" s="115">
        <f t="shared" si="0"/>
        <v>1</v>
      </c>
    </row>
    <row r="13" spans="1:14" ht="6" customHeight="1" thickBot="1">
      <c r="A13" s="6"/>
      <c r="B13" s="203"/>
      <c r="C13" s="204"/>
      <c r="D13" s="203"/>
      <c r="E13" s="205"/>
      <c r="F13" s="116"/>
      <c r="G13" s="117"/>
      <c r="H13" s="117"/>
      <c r="N13" s="13"/>
    </row>
    <row r="14" spans="1:14" ht="15">
      <c r="A14" s="6"/>
      <c r="I14" s="115">
        <f>IF(SUM(I7:I13)&gt;=1,1,0)</f>
        <v>1</v>
      </c>
      <c r="J14" s="164"/>
      <c r="K14" s="82"/>
      <c r="L14" s="82"/>
      <c r="M14" s="206" t="s">
        <v>218</v>
      </c>
      <c r="N14" s="155"/>
    </row>
    <row r="15" spans="1:14" ht="15">
      <c r="A15" s="6"/>
      <c r="B15" s="196" t="s">
        <v>172</v>
      </c>
      <c r="C15" s="197"/>
      <c r="D15" s="198"/>
      <c r="E15" s="199"/>
      <c r="F15" s="200"/>
      <c r="J15" s="171"/>
      <c r="K15" s="172"/>
      <c r="L15" s="176" t="s">
        <v>215</v>
      </c>
      <c r="M15" s="226" t="s">
        <v>251</v>
      </c>
      <c r="N15" s="13"/>
    </row>
    <row r="16" spans="1:14" ht="15.75" thickBot="1">
      <c r="A16" s="6"/>
      <c r="B16" s="208" t="s">
        <v>200</v>
      </c>
      <c r="C16" s="202"/>
      <c r="D16" s="201"/>
      <c r="E16" s="119"/>
      <c r="F16" s="207"/>
      <c r="J16" s="171"/>
      <c r="K16" s="172"/>
      <c r="L16" s="173" t="s">
        <v>216</v>
      </c>
      <c r="M16" s="151">
        <v>27</v>
      </c>
      <c r="N16" s="167"/>
    </row>
    <row r="17" spans="1:13" ht="15.75" thickBot="1">
      <c r="A17" s="6"/>
      <c r="B17" s="208"/>
      <c r="C17" s="202" t="s">
        <v>174</v>
      </c>
      <c r="D17" s="201" t="s">
        <v>249</v>
      </c>
      <c r="E17" s="120"/>
      <c r="F17" s="207"/>
      <c r="I17" s="115">
        <f>IF(E17=0,1,0)</f>
        <v>1</v>
      </c>
      <c r="J17" s="174"/>
      <c r="K17" s="175"/>
      <c r="L17" s="227" t="s">
        <v>217</v>
      </c>
      <c r="M17" s="168">
        <f>31.65/1000</f>
        <v>0.03165</v>
      </c>
    </row>
    <row r="18" spans="1:9" ht="15.75" thickBot="1">
      <c r="A18" s="6"/>
      <c r="B18" s="201"/>
      <c r="C18" s="202" t="s">
        <v>175</v>
      </c>
      <c r="D18" s="201" t="s">
        <v>201</v>
      </c>
      <c r="E18" s="120"/>
      <c r="F18" s="207"/>
      <c r="H18" s="147" t="b">
        <f>AND(E17="ja",E18=0)</f>
        <v>0</v>
      </c>
      <c r="I18" s="115">
        <f>IF($H$18,1,0)</f>
        <v>0</v>
      </c>
    </row>
    <row r="19" spans="1:10" ht="15.75" thickBot="1">
      <c r="A19" s="6"/>
      <c r="B19" s="201"/>
      <c r="C19" s="202" t="s">
        <v>176</v>
      </c>
      <c r="D19" s="201" t="s">
        <v>99</v>
      </c>
      <c r="E19" s="120"/>
      <c r="F19" s="207"/>
      <c r="H19" s="147" t="b">
        <f>AND(E17="ja",E19=0)</f>
        <v>0</v>
      </c>
      <c r="I19" s="115">
        <f>IF($H$19,1,0)</f>
        <v>0</v>
      </c>
      <c r="J19" s="170" t="s">
        <v>319</v>
      </c>
    </row>
    <row r="20" spans="1:9" ht="15.75" thickBot="1">
      <c r="A20" s="6"/>
      <c r="B20" s="201"/>
      <c r="C20" s="202" t="s">
        <v>177</v>
      </c>
      <c r="D20" s="201" t="s">
        <v>100</v>
      </c>
      <c r="E20" s="120"/>
      <c r="F20" s="207"/>
      <c r="H20" s="147" t="b">
        <f>AND(E17="ja",E20=0)</f>
        <v>0</v>
      </c>
      <c r="I20" s="115">
        <f>IF($H$20,1,0)</f>
        <v>0</v>
      </c>
    </row>
    <row r="21" spans="1:16" ht="15.75" thickBot="1">
      <c r="A21" s="6"/>
      <c r="B21" s="201"/>
      <c r="C21" s="202" t="s">
        <v>178</v>
      </c>
      <c r="D21" s="201" t="s">
        <v>302</v>
      </c>
      <c r="E21" s="120"/>
      <c r="F21" s="207"/>
      <c r="H21" s="147" t="b">
        <f>AND(E17="ja",E21=0)</f>
        <v>0</v>
      </c>
      <c r="I21" s="115">
        <f>IF($H$21,1,0)</f>
        <v>0</v>
      </c>
      <c r="J21" s="234" t="s">
        <v>318</v>
      </c>
      <c r="K21" s="235"/>
      <c r="L21" s="235"/>
      <c r="M21" s="235"/>
      <c r="N21" s="240">
        <v>1</v>
      </c>
      <c r="O21" s="82" t="s">
        <v>297</v>
      </c>
      <c r="P21" s="228"/>
    </row>
    <row r="22" spans="1:16" ht="15.75" thickBot="1">
      <c r="A22" s="6"/>
      <c r="B22" s="208" t="s">
        <v>202</v>
      </c>
      <c r="C22" s="202"/>
      <c r="D22" s="201"/>
      <c r="E22" s="119"/>
      <c r="F22" s="207"/>
      <c r="I22" s="115">
        <f>IF(SUM(I17:I21)&gt;=1,1,0)</f>
        <v>1</v>
      </c>
      <c r="J22" s="236" t="s">
        <v>295</v>
      </c>
      <c r="K22" s="177"/>
      <c r="L22" s="177"/>
      <c r="M22" s="177"/>
      <c r="N22" s="241">
        <v>100</v>
      </c>
      <c r="O22" s="14" t="s">
        <v>296</v>
      </c>
      <c r="P22" s="229"/>
    </row>
    <row r="23" spans="1:16" ht="15.75" thickBot="1">
      <c r="A23" s="6"/>
      <c r="B23" s="208"/>
      <c r="C23" s="202" t="s">
        <v>179</v>
      </c>
      <c r="D23" s="201" t="s">
        <v>269</v>
      </c>
      <c r="E23" s="120"/>
      <c r="F23" s="207"/>
      <c r="I23" s="115">
        <f>IF(E23=0,1,0)</f>
        <v>1</v>
      </c>
      <c r="J23" s="230"/>
      <c r="K23" s="156"/>
      <c r="L23" s="156"/>
      <c r="M23" s="156"/>
      <c r="N23" s="14"/>
      <c r="O23" s="156"/>
      <c r="P23" s="229"/>
    </row>
    <row r="24" spans="1:16" ht="15.75" thickBot="1">
      <c r="A24" s="6"/>
      <c r="B24" s="201"/>
      <c r="C24" s="202" t="s">
        <v>180</v>
      </c>
      <c r="D24" s="201" t="s">
        <v>201</v>
      </c>
      <c r="E24" s="120"/>
      <c r="F24" s="207"/>
      <c r="H24" s="147" t="b">
        <f>AND(E23="ja",E24=0)</f>
        <v>0</v>
      </c>
      <c r="I24" s="115">
        <f>IF($H$24,1,0)</f>
        <v>0</v>
      </c>
      <c r="J24" s="237" t="s">
        <v>298</v>
      </c>
      <c r="K24" s="178"/>
      <c r="L24" s="178"/>
      <c r="M24" s="178"/>
      <c r="N24" s="238">
        <f>(N21*HLOOKUP(N22,M9:P11,3,FALSE))</f>
        <v>31536</v>
      </c>
      <c r="O24" s="3" t="s">
        <v>251</v>
      </c>
      <c r="P24" s="231"/>
    </row>
    <row r="25" spans="1:9" ht="15.75" thickBot="1">
      <c r="A25" s="6"/>
      <c r="B25" s="201"/>
      <c r="C25" s="202" t="s">
        <v>181</v>
      </c>
      <c r="D25" s="201" t="s">
        <v>99</v>
      </c>
      <c r="E25" s="120"/>
      <c r="F25" s="207"/>
      <c r="H25" s="147" t="b">
        <f>AND(E23="ja",E25=0)</f>
        <v>0</v>
      </c>
      <c r="I25" s="115">
        <f>IF($H$25,1,0)</f>
        <v>0</v>
      </c>
    </row>
    <row r="26" spans="1:16" ht="15.75" thickBot="1">
      <c r="A26" s="6"/>
      <c r="B26" s="201"/>
      <c r="C26" s="202" t="s">
        <v>182</v>
      </c>
      <c r="D26" s="201" t="s">
        <v>100</v>
      </c>
      <c r="E26" s="120"/>
      <c r="F26" s="207"/>
      <c r="H26" s="147" t="b">
        <f>AND(E23="ja",E26=0)</f>
        <v>0</v>
      </c>
      <c r="I26" s="115">
        <f>IF($H$26,1,0)</f>
        <v>0</v>
      </c>
      <c r="J26" s="234" t="s">
        <v>312</v>
      </c>
      <c r="K26" s="235"/>
      <c r="L26" s="235"/>
      <c r="M26" s="235"/>
      <c r="N26" s="253">
        <v>0</v>
      </c>
      <c r="O26" s="82" t="s">
        <v>313</v>
      </c>
      <c r="P26" s="228"/>
    </row>
    <row r="27" spans="1:16" ht="15.75" thickBot="1">
      <c r="A27" s="6"/>
      <c r="B27" s="201"/>
      <c r="C27" s="202" t="s">
        <v>184</v>
      </c>
      <c r="D27" s="201" t="s">
        <v>302</v>
      </c>
      <c r="E27" s="120"/>
      <c r="F27" s="207"/>
      <c r="H27" s="147" t="b">
        <f>AND(E23="ja",E27=0)</f>
        <v>0</v>
      </c>
      <c r="I27" s="115">
        <f>IF($H$27,1,0)</f>
        <v>0</v>
      </c>
      <c r="J27" s="236" t="s">
        <v>314</v>
      </c>
      <c r="K27" s="177"/>
      <c r="L27" s="177"/>
      <c r="M27" s="177"/>
      <c r="N27" s="243">
        <f>N26*$M$16</f>
        <v>0</v>
      </c>
      <c r="O27" s="14" t="s">
        <v>251</v>
      </c>
      <c r="P27" s="229"/>
    </row>
    <row r="28" spans="1:16" ht="15.75" thickBot="1">
      <c r="A28" s="6"/>
      <c r="B28" s="208" t="s">
        <v>324</v>
      </c>
      <c r="C28" s="202"/>
      <c r="D28" s="201"/>
      <c r="E28" s="119"/>
      <c r="F28" s="207"/>
      <c r="I28" s="115">
        <f>IF(SUM(I23:I27)&gt;=1,1,0)</f>
        <v>1</v>
      </c>
      <c r="J28" s="230"/>
      <c r="K28" s="156"/>
      <c r="L28" s="156"/>
      <c r="M28" s="156"/>
      <c r="N28" s="14"/>
      <c r="O28" s="156"/>
      <c r="P28" s="229"/>
    </row>
    <row r="29" spans="1:16" ht="15.75" thickBot="1">
      <c r="A29" s="6"/>
      <c r="B29" s="208"/>
      <c r="C29" s="202" t="s">
        <v>183</v>
      </c>
      <c r="D29" s="201" t="s">
        <v>170</v>
      </c>
      <c r="E29" s="120"/>
      <c r="F29" s="207"/>
      <c r="I29" s="115">
        <f>IF(E29=0,1,0)</f>
        <v>1</v>
      </c>
      <c r="J29" s="236" t="s">
        <v>315</v>
      </c>
      <c r="K29" s="177"/>
      <c r="L29" s="177"/>
      <c r="M29" s="177"/>
      <c r="N29" s="252"/>
      <c r="O29" s="14" t="s">
        <v>316</v>
      </c>
      <c r="P29" s="229"/>
    </row>
    <row r="30" spans="1:16" ht="15.75" thickBot="1">
      <c r="A30" s="6"/>
      <c r="B30" s="201"/>
      <c r="C30" s="202" t="s">
        <v>185</v>
      </c>
      <c r="D30" s="201" t="s">
        <v>201</v>
      </c>
      <c r="E30" s="120"/>
      <c r="F30" s="207"/>
      <c r="H30" s="147" t="b">
        <f>AND(E29="ja",E30=0)</f>
        <v>0</v>
      </c>
      <c r="I30" s="115">
        <f>IF($H$30,1,0)</f>
        <v>0</v>
      </c>
      <c r="J30" s="237" t="s">
        <v>314</v>
      </c>
      <c r="K30" s="244"/>
      <c r="L30" s="244"/>
      <c r="M30" s="244"/>
      <c r="N30" s="245">
        <f>N29*$M$17</f>
        <v>0</v>
      </c>
      <c r="O30" s="3" t="s">
        <v>251</v>
      </c>
      <c r="P30" s="231"/>
    </row>
    <row r="31" spans="1:16" ht="15.75" thickBot="1">
      <c r="A31" s="6"/>
      <c r="B31" s="201"/>
      <c r="C31" s="202" t="s">
        <v>186</v>
      </c>
      <c r="D31" s="201" t="s">
        <v>100</v>
      </c>
      <c r="E31" s="120"/>
      <c r="F31" s="207"/>
      <c r="H31" s="147" t="b">
        <f>AND(E29="ja",E31=0)</f>
        <v>0</v>
      </c>
      <c r="I31" s="115">
        <f>IF($H$31,1,0)</f>
        <v>0</v>
      </c>
      <c r="O31" s="13"/>
      <c r="P31" s="13"/>
    </row>
    <row r="32" spans="1:16" ht="15.75" thickBot="1">
      <c r="A32" s="6"/>
      <c r="B32" s="201"/>
      <c r="C32" s="202" t="s">
        <v>187</v>
      </c>
      <c r="D32" s="201" t="s">
        <v>302</v>
      </c>
      <c r="E32" s="120"/>
      <c r="F32" s="207"/>
      <c r="H32" s="147" t="b">
        <f>AND(E29="ja",E32=0)</f>
        <v>0</v>
      </c>
      <c r="I32" s="115">
        <f>IF($H$32,1,0)</f>
        <v>0</v>
      </c>
      <c r="O32" s="154"/>
      <c r="P32" s="154"/>
    </row>
    <row r="33" spans="1:9" ht="4.5" customHeight="1">
      <c r="A33" s="6"/>
      <c r="B33" s="201"/>
      <c r="C33" s="202"/>
      <c r="D33" s="201"/>
      <c r="E33" s="209"/>
      <c r="F33" s="207"/>
      <c r="H33" s="147" t="b">
        <f>AND(E29="ja",E33=0)</f>
        <v>0</v>
      </c>
      <c r="I33" s="115">
        <f>IF($H$27,1,0)</f>
        <v>0</v>
      </c>
    </row>
    <row r="34" spans="1:9" ht="15">
      <c r="A34" s="6"/>
      <c r="I34" s="115">
        <f>IF(SUM(I29:I33)&gt;=1,1,0)</f>
        <v>1</v>
      </c>
    </row>
    <row r="35" spans="1:6" ht="15">
      <c r="A35" s="6"/>
      <c r="B35" s="196" t="s">
        <v>173</v>
      </c>
      <c r="C35" s="197"/>
      <c r="D35" s="198"/>
      <c r="E35" s="199"/>
      <c r="F35" s="200"/>
    </row>
    <row r="36" spans="1:6" ht="15.75" thickBot="1">
      <c r="A36" s="6"/>
      <c r="B36" s="208" t="s">
        <v>203</v>
      </c>
      <c r="C36" s="201"/>
      <c r="D36" s="201"/>
      <c r="E36" s="119"/>
      <c r="F36" s="207"/>
    </row>
    <row r="37" spans="1:9" ht="15.75" thickBot="1">
      <c r="A37" s="6"/>
      <c r="B37" s="201"/>
      <c r="C37" s="202" t="s">
        <v>188</v>
      </c>
      <c r="D37" s="201" t="s">
        <v>252</v>
      </c>
      <c r="E37" s="120"/>
      <c r="F37" s="207"/>
      <c r="H37" s="147" t="b">
        <f>AND(E17="ja",E37=0)</f>
        <v>0</v>
      </c>
      <c r="I37" s="115">
        <f>IF($H$37,1,0)</f>
        <v>0</v>
      </c>
    </row>
    <row r="38" spans="1:9" ht="15.75" thickBot="1">
      <c r="A38" s="6"/>
      <c r="B38" s="208" t="s">
        <v>204</v>
      </c>
      <c r="C38" s="202"/>
      <c r="D38" s="201"/>
      <c r="E38" s="119"/>
      <c r="F38" s="207"/>
      <c r="I38" s="115">
        <f>IF(SUM(I37)&gt;=1,1,0)</f>
        <v>0</v>
      </c>
    </row>
    <row r="39" spans="1:9" ht="15.75" thickBot="1">
      <c r="A39" s="6"/>
      <c r="B39" s="208"/>
      <c r="C39" s="202" t="s">
        <v>189</v>
      </c>
      <c r="D39" s="201" t="s">
        <v>310</v>
      </c>
      <c r="E39" s="120"/>
      <c r="F39" s="207"/>
      <c r="H39" s="147" t="b">
        <f>AND(E23="ja",E39=0)</f>
        <v>0</v>
      </c>
      <c r="I39" s="115">
        <f>IF($H$39,1,0)</f>
        <v>0</v>
      </c>
    </row>
    <row r="40" spans="1:9" ht="15.75" thickBot="1">
      <c r="A40" s="6"/>
      <c r="B40" s="201"/>
      <c r="C40" s="202" t="s">
        <v>190</v>
      </c>
      <c r="D40" s="201" t="s">
        <v>301</v>
      </c>
      <c r="E40" s="120"/>
      <c r="F40" s="207"/>
      <c r="H40" s="147" t="b">
        <f>AND(E23="ja",E40=0)</f>
        <v>0</v>
      </c>
      <c r="I40" s="115">
        <f>IF($H$40,1,0)</f>
        <v>0</v>
      </c>
    </row>
    <row r="41" spans="1:9" ht="15.75" thickBot="1">
      <c r="A41" s="6"/>
      <c r="B41" s="201"/>
      <c r="C41" s="202" t="s">
        <v>191</v>
      </c>
      <c r="D41" s="201" t="s">
        <v>169</v>
      </c>
      <c r="E41" s="120"/>
      <c r="F41" s="207"/>
      <c r="H41" s="147" t="b">
        <f>AND(E23="ja",E41=0)</f>
        <v>0</v>
      </c>
      <c r="I41" s="115">
        <f>IF($H$41,1,0)</f>
        <v>0</v>
      </c>
    </row>
    <row r="42" spans="1:9" ht="15.75" thickBot="1">
      <c r="A42" s="6"/>
      <c r="B42" s="201"/>
      <c r="C42" s="202" t="s">
        <v>192</v>
      </c>
      <c r="D42" s="201" t="s">
        <v>311</v>
      </c>
      <c r="E42" s="120"/>
      <c r="F42" s="207"/>
      <c r="H42" s="147" t="b">
        <f>AND(E23="ja",E42=0)</f>
        <v>0</v>
      </c>
      <c r="I42" s="115">
        <f>IF($H$42,1,0)</f>
        <v>0</v>
      </c>
    </row>
    <row r="43" spans="1:9" ht="15.75" thickBot="1">
      <c r="A43" s="6"/>
      <c r="B43" s="208" t="s">
        <v>323</v>
      </c>
      <c r="C43" s="202"/>
      <c r="D43" s="201"/>
      <c r="E43" s="119"/>
      <c r="F43" s="207"/>
      <c r="I43" s="115">
        <f>IF(SUM(I39:I42)&gt;=1,1,0)</f>
        <v>0</v>
      </c>
    </row>
    <row r="44" spans="1:13" ht="15.75" thickBot="1">
      <c r="A44" s="6"/>
      <c r="B44" s="201"/>
      <c r="C44" s="202" t="s">
        <v>193</v>
      </c>
      <c r="D44" s="201" t="s">
        <v>300</v>
      </c>
      <c r="E44" s="120"/>
      <c r="F44" s="207"/>
      <c r="H44" s="147" t="b">
        <f>AND(E29="ja",E44=0)</f>
        <v>0</v>
      </c>
      <c r="I44" s="115">
        <f>IF($H$44,1,0)</f>
        <v>0</v>
      </c>
      <c r="K44" s="157"/>
      <c r="L44" s="157"/>
      <c r="M44" s="157"/>
    </row>
    <row r="45" spans="1:13" ht="15.75" thickBot="1">
      <c r="A45" s="6"/>
      <c r="B45" s="201"/>
      <c r="C45" s="202" t="s">
        <v>194</v>
      </c>
      <c r="D45" s="201" t="s">
        <v>169</v>
      </c>
      <c r="E45" s="120"/>
      <c r="F45" s="242"/>
      <c r="G45" s="117"/>
      <c r="H45" s="147" t="b">
        <f>AND(E29="ja",E45=0)</f>
        <v>0</v>
      </c>
      <c r="I45" s="115">
        <f>IF($H$45,1,0)</f>
        <v>0</v>
      </c>
      <c r="K45" s="157"/>
      <c r="L45" s="157"/>
      <c r="M45" s="157"/>
    </row>
    <row r="46" spans="1:13" ht="15.75" thickBot="1">
      <c r="A46" s="6"/>
      <c r="B46" s="201"/>
      <c r="C46" s="202" t="s">
        <v>195</v>
      </c>
      <c r="D46" s="201" t="s">
        <v>246</v>
      </c>
      <c r="E46" s="120"/>
      <c r="F46" s="207"/>
      <c r="H46" s="147" t="b">
        <f>AND(E29="ja",E46=0)</f>
        <v>0</v>
      </c>
      <c r="I46" s="115">
        <f>IF($H$46,1,0)</f>
        <v>0</v>
      </c>
      <c r="K46" s="157"/>
      <c r="L46" s="157"/>
      <c r="M46" s="157"/>
    </row>
    <row r="47" spans="1:9" ht="15.75" thickBot="1">
      <c r="A47" s="6"/>
      <c r="B47" s="201"/>
      <c r="C47" s="202" t="s">
        <v>196</v>
      </c>
      <c r="D47" s="201" t="s">
        <v>106</v>
      </c>
      <c r="E47" s="120"/>
      <c r="F47" s="207"/>
      <c r="H47" s="147" t="b">
        <f>AND(E29="ja",E47=0)</f>
        <v>0</v>
      </c>
      <c r="I47" s="115">
        <f>IF($H$47,1,0)</f>
        <v>0</v>
      </c>
    </row>
    <row r="48" spans="1:9" ht="15.75" thickBot="1">
      <c r="A48" s="6"/>
      <c r="B48" s="201"/>
      <c r="C48" s="202" t="s">
        <v>197</v>
      </c>
      <c r="D48" s="201" t="s">
        <v>136</v>
      </c>
      <c r="E48" s="120"/>
      <c r="F48" s="207"/>
      <c r="H48" s="147" t="b">
        <f>AND(E29="ja",E47="woningen",E48=0)</f>
        <v>0</v>
      </c>
      <c r="I48" s="115">
        <f>IF($H$48,1,0)</f>
        <v>0</v>
      </c>
    </row>
    <row r="49" spans="1:10" ht="15.75" thickBot="1">
      <c r="A49" s="6"/>
      <c r="B49" s="208"/>
      <c r="C49" s="202" t="s">
        <v>198</v>
      </c>
      <c r="D49" s="201" t="s">
        <v>308</v>
      </c>
      <c r="E49" s="120"/>
      <c r="F49" s="207"/>
      <c r="G49" s="121"/>
      <c r="H49" s="147" t="b">
        <f>AND(E29="ja",OR(E47="utiliteit",E47="beide"),E49=0)</f>
        <v>0</v>
      </c>
      <c r="I49" s="115">
        <f>IF($H$49,1,0)</f>
        <v>0</v>
      </c>
      <c r="J49" s="114"/>
    </row>
    <row r="50" spans="1:7" ht="3.75" customHeight="1">
      <c r="A50" s="6"/>
      <c r="B50" s="208"/>
      <c r="C50" s="202"/>
      <c r="D50" s="201"/>
      <c r="E50" s="246">
        <f>E55</f>
        <v>0</v>
      </c>
      <c r="F50" s="207"/>
      <c r="G50" s="121"/>
    </row>
    <row r="51" spans="8:9" ht="15">
      <c r="H51" s="145"/>
      <c r="I51" s="115">
        <f>IF(SUM(I44:I50)&gt;=1,1,0)</f>
        <v>0</v>
      </c>
    </row>
    <row r="52" spans="3:10" s="156" customFormat="1" ht="15">
      <c r="C52" s="262" t="str">
        <f>K56</f>
        <v>   Vul eerst alle waarden in en ga dan naar het tabblad OUTPUT</v>
      </c>
      <c r="D52" s="262"/>
      <c r="E52" s="161"/>
      <c r="F52" s="117"/>
      <c r="G52" s="117"/>
      <c r="H52" s="117"/>
      <c r="I52" s="117"/>
      <c r="J52" s="117"/>
    </row>
    <row r="53" spans="2:10" s="111" customFormat="1" ht="15.75" hidden="1" thickBot="1">
      <c r="B53" s="3"/>
      <c r="C53" s="239" t="s">
        <v>84</v>
      </c>
      <c r="D53" s="3"/>
      <c r="E53" s="112"/>
      <c r="F53" s="113"/>
      <c r="G53" s="113"/>
      <c r="H53" s="113"/>
      <c r="I53" s="2">
        <f>IF(SUM(I14+I22+I28+I34+I38+I43+I51)&gt;=1,1,0)</f>
        <v>1</v>
      </c>
      <c r="J53" s="113"/>
    </row>
    <row r="54" ht="15" hidden="1"/>
    <row r="55" ht="15.75" hidden="1" thickBot="1"/>
    <row r="56" spans="5:17" ht="15.75" hidden="1" thickBot="1">
      <c r="E56" s="122" t="s">
        <v>19</v>
      </c>
      <c r="H56" s="114"/>
      <c r="I56" s="114"/>
      <c r="K56" s="162" t="str">
        <f>IF(I53=1,"   Vul eerst alle waarden in en ga dan naar het tabblad OUTPUT","   Alle waarden zijn ingevuld. Ga naar het tabblad OUTPUT")</f>
        <v>   Vul eerst alle waarden in en ga dan naar het tabblad OUTPUT</v>
      </c>
      <c r="L56" s="14"/>
      <c r="M56" s="14"/>
      <c r="N56" s="260"/>
      <c r="O56" s="260"/>
      <c r="P56" s="260"/>
      <c r="Q56" s="260"/>
    </row>
    <row r="57" spans="5:17" ht="15" hidden="1">
      <c r="E57" s="123" t="s">
        <v>23</v>
      </c>
      <c r="H57" s="146"/>
      <c r="I57" s="117"/>
      <c r="J57" s="156"/>
      <c r="K57" s="13"/>
      <c r="L57" s="14"/>
      <c r="M57" s="179"/>
      <c r="N57" s="155"/>
      <c r="O57" s="155"/>
      <c r="P57" s="155"/>
      <c r="Q57" s="155"/>
    </row>
    <row r="58" spans="5:17" ht="15" hidden="1">
      <c r="E58" s="123" t="s">
        <v>21</v>
      </c>
      <c r="H58" s="146"/>
      <c r="I58" s="117"/>
      <c r="K58" s="13"/>
      <c r="L58" s="14"/>
      <c r="M58" s="16"/>
      <c r="N58" s="13"/>
      <c r="O58" s="13"/>
      <c r="P58" s="13"/>
      <c r="Q58" s="13"/>
    </row>
    <row r="59" spans="5:17" ht="15" hidden="1">
      <c r="E59" s="123" t="s">
        <v>22</v>
      </c>
      <c r="H59" s="146"/>
      <c r="I59" s="117"/>
      <c r="K59" s="13"/>
      <c r="L59" s="14"/>
      <c r="M59" s="180"/>
      <c r="N59" s="154"/>
      <c r="O59" s="154"/>
      <c r="P59" s="154"/>
      <c r="Q59" s="154"/>
    </row>
    <row r="60" spans="5:17" ht="15.75" hidden="1" thickBot="1">
      <c r="E60" s="124" t="s">
        <v>9</v>
      </c>
      <c r="H60" s="146"/>
      <c r="I60" s="117"/>
      <c r="K60" s="156"/>
      <c r="L60" s="156"/>
      <c r="M60" s="156"/>
      <c r="N60" s="156"/>
      <c r="O60" s="156"/>
      <c r="P60" s="156"/>
      <c r="Q60" s="156"/>
    </row>
    <row r="61" spans="5:17" ht="15" hidden="1">
      <c r="E61" s="123" t="s">
        <v>15</v>
      </c>
      <c r="H61" s="117"/>
      <c r="I61" s="117"/>
      <c r="K61" s="13"/>
      <c r="L61" s="14"/>
      <c r="M61" s="14"/>
      <c r="N61" s="13"/>
      <c r="O61" s="13"/>
      <c r="P61" s="156"/>
      <c r="Q61" s="156"/>
    </row>
    <row r="62" spans="5:17" ht="15" hidden="1">
      <c r="E62" s="123" t="s">
        <v>16</v>
      </c>
      <c r="H62" s="13"/>
      <c r="I62" s="117"/>
      <c r="K62" s="13"/>
      <c r="L62" s="14"/>
      <c r="M62" s="179"/>
      <c r="N62" s="155"/>
      <c r="O62" s="155"/>
      <c r="P62" s="156"/>
      <c r="Q62" s="156"/>
    </row>
    <row r="63" spans="5:17" ht="15" hidden="1">
      <c r="E63" s="123" t="s">
        <v>17</v>
      </c>
      <c r="H63" s="117"/>
      <c r="I63" s="117"/>
      <c r="K63" s="13"/>
      <c r="L63" s="14"/>
      <c r="M63" s="181"/>
      <c r="N63" s="13"/>
      <c r="O63" s="13"/>
      <c r="P63" s="156"/>
      <c r="Q63" s="156"/>
    </row>
    <row r="64" spans="5:17" ht="15" hidden="1">
      <c r="E64" s="123" t="s">
        <v>18</v>
      </c>
      <c r="H64" s="117"/>
      <c r="I64" s="117"/>
      <c r="K64" s="13"/>
      <c r="L64" s="14"/>
      <c r="M64" s="181"/>
      <c r="N64" s="154"/>
      <c r="O64" s="167"/>
      <c r="P64" s="156"/>
      <c r="Q64" s="156"/>
    </row>
    <row r="65" spans="5:17" ht="15.75" hidden="1" thickBot="1">
      <c r="E65" s="123" t="s">
        <v>9</v>
      </c>
      <c r="K65" s="156"/>
      <c r="L65" s="156"/>
      <c r="M65" s="156"/>
      <c r="N65" s="156"/>
      <c r="O65" s="156"/>
      <c r="P65" s="156"/>
      <c r="Q65" s="156"/>
    </row>
    <row r="66" ht="15" hidden="1">
      <c r="E66" s="138" t="s">
        <v>137</v>
      </c>
    </row>
    <row r="67" ht="15" hidden="1">
      <c r="E67" s="123" t="s">
        <v>138</v>
      </c>
    </row>
    <row r="68" ht="15" hidden="1">
      <c r="E68" s="123" t="s">
        <v>139</v>
      </c>
    </row>
    <row r="69" ht="15" hidden="1">
      <c r="E69" s="123" t="s">
        <v>219</v>
      </c>
    </row>
    <row r="70" spans="5:10" ht="15.75" hidden="1" thickBot="1">
      <c r="E70" s="124" t="s">
        <v>9</v>
      </c>
      <c r="I70" s="11"/>
      <c r="J70" s="11"/>
    </row>
    <row r="71" spans="5:10" ht="15" hidden="1">
      <c r="E71" s="123" t="s">
        <v>8</v>
      </c>
      <c r="I71" s="139"/>
      <c r="J71" s="140"/>
    </row>
    <row r="72" spans="5:10" ht="15" hidden="1">
      <c r="E72" s="123" t="s">
        <v>7</v>
      </c>
      <c r="I72" s="140"/>
      <c r="J72" s="140"/>
    </row>
    <row r="73" spans="5:10" ht="15.75" hidden="1" thickBot="1">
      <c r="E73" s="123" t="s">
        <v>9</v>
      </c>
      <c r="I73" s="140"/>
      <c r="J73" s="140"/>
    </row>
    <row r="74" ht="15" hidden="1">
      <c r="E74" s="138" t="s">
        <v>13</v>
      </c>
    </row>
    <row r="75" ht="15" hidden="1">
      <c r="E75" s="123" t="s">
        <v>14</v>
      </c>
    </row>
    <row r="76" ht="15" hidden="1">
      <c r="E76" s="123" t="s">
        <v>7</v>
      </c>
    </row>
    <row r="77" ht="15.75" hidden="1" thickBot="1">
      <c r="E77" s="124" t="s">
        <v>9</v>
      </c>
    </row>
    <row r="78" ht="15" hidden="1">
      <c r="E78" s="123" t="s">
        <v>167</v>
      </c>
    </row>
    <row r="79" ht="15" hidden="1">
      <c r="E79" s="123" t="s">
        <v>209</v>
      </c>
    </row>
    <row r="80" ht="15" hidden="1">
      <c r="E80" s="123" t="s">
        <v>102</v>
      </c>
    </row>
    <row r="81" ht="15" hidden="1">
      <c r="E81" s="123" t="s">
        <v>168</v>
      </c>
    </row>
    <row r="82" ht="15.75" hidden="1" thickBot="1">
      <c r="E82" s="123" t="s">
        <v>9</v>
      </c>
    </row>
    <row r="83" ht="15" hidden="1">
      <c r="E83" s="138" t="s">
        <v>8</v>
      </c>
    </row>
    <row r="84" ht="15" hidden="1">
      <c r="E84" s="123" t="s">
        <v>7</v>
      </c>
    </row>
    <row r="85" ht="15.75" hidden="1" thickBot="1">
      <c r="E85" s="124" t="s">
        <v>9</v>
      </c>
    </row>
    <row r="86" ht="15" hidden="1">
      <c r="E86" s="125" t="s">
        <v>107</v>
      </c>
    </row>
    <row r="87" ht="15" hidden="1">
      <c r="E87" s="125" t="s">
        <v>108</v>
      </c>
    </row>
    <row r="88" ht="15.75" hidden="1" thickBot="1">
      <c r="E88" s="126" t="s">
        <v>109</v>
      </c>
    </row>
    <row r="89" spans="5:10" ht="15" hidden="1">
      <c r="E89" s="123" t="s">
        <v>253</v>
      </c>
      <c r="J89" s="185"/>
    </row>
    <row r="90" spans="5:10" ht="15" hidden="1">
      <c r="E90" s="125" t="s">
        <v>254</v>
      </c>
      <c r="J90" s="185"/>
    </row>
    <row r="91" spans="5:10" ht="15" hidden="1">
      <c r="E91" s="123" t="s">
        <v>255</v>
      </c>
      <c r="J91" s="185"/>
    </row>
    <row r="92" spans="5:10" ht="15" hidden="1">
      <c r="E92" s="123" t="s">
        <v>256</v>
      </c>
      <c r="J92" s="185"/>
    </row>
    <row r="93" ht="15" hidden="1">
      <c r="E93" s="123" t="s">
        <v>12</v>
      </c>
    </row>
    <row r="94" ht="15.75" hidden="1" thickBot="1">
      <c r="E94" s="124" t="s">
        <v>9</v>
      </c>
    </row>
    <row r="95" ht="15" hidden="1">
      <c r="E95" s="138">
        <v>25</v>
      </c>
    </row>
    <row r="96" ht="15" hidden="1">
      <c r="E96" s="123">
        <v>50</v>
      </c>
    </row>
    <row r="97" ht="15" hidden="1">
      <c r="E97" s="123">
        <v>75</v>
      </c>
    </row>
    <row r="98" ht="15.75" hidden="1" thickBot="1">
      <c r="E98" s="124">
        <v>100</v>
      </c>
    </row>
    <row r="99" ht="15" hidden="1"/>
    <row r="100" ht="15" hidden="1"/>
  </sheetData>
  <sheetProtection password="DDE7" sheet="1" objects="1" scenarios="1"/>
  <mergeCells count="4">
    <mergeCell ref="N56:Q56"/>
    <mergeCell ref="C3:E3"/>
    <mergeCell ref="C52:D52"/>
    <mergeCell ref="M8:P8"/>
  </mergeCells>
  <conditionalFormatting sqref="E29 E17 E23 E7:E12">
    <cfRule type="expression" priority="1" dxfId="0" stopIfTrue="1">
      <formula>I7=1</formula>
    </cfRule>
  </conditionalFormatting>
  <conditionalFormatting sqref="I65533:I65536">
    <cfRule type="expression" priority="2" dxfId="0" stopIfTrue="1">
      <formula>J1=1</formula>
    </cfRule>
  </conditionalFormatting>
  <conditionalFormatting sqref="I11:I15">
    <cfRule type="expression" priority="3" dxfId="0" stopIfTrue="1">
      <formula>J7=1</formula>
    </cfRule>
  </conditionalFormatting>
  <conditionalFormatting sqref="I17:I20">
    <cfRule type="expression" priority="4" dxfId="0" stopIfTrue="1">
      <formula>J14=1</formula>
    </cfRule>
  </conditionalFormatting>
  <conditionalFormatting sqref="I21:I65532">
    <cfRule type="expression" priority="5" dxfId="0" stopIfTrue="1">
      <formula>J26=1</formula>
    </cfRule>
  </conditionalFormatting>
  <conditionalFormatting sqref="I16 I5:I10">
    <cfRule type="expression" priority="6" dxfId="0" stopIfTrue="1">
      <formula>#REF!=1</formula>
    </cfRule>
  </conditionalFormatting>
  <conditionalFormatting sqref="B39:B42">
    <cfRule type="expression" priority="7" dxfId="1" stopIfTrue="1">
      <formula>$E$23="nee"</formula>
    </cfRule>
  </conditionalFormatting>
  <conditionalFormatting sqref="B33:F33 F30 B30">
    <cfRule type="expression" priority="8" dxfId="2" stopIfTrue="1">
      <formula>$E$29="nee"</formula>
    </cfRule>
  </conditionalFormatting>
  <conditionalFormatting sqref="F18 B18">
    <cfRule type="expression" priority="9" dxfId="2" stopIfTrue="1">
      <formula>$E$17="nee"</formula>
    </cfRule>
  </conditionalFormatting>
  <conditionalFormatting sqref="F24:F27 B24:B27">
    <cfRule type="expression" priority="10" dxfId="3" stopIfTrue="1">
      <formula>$E$23="nee"</formula>
    </cfRule>
  </conditionalFormatting>
  <conditionalFormatting sqref="F19:F21 B19:B21">
    <cfRule type="expression" priority="11" dxfId="4" stopIfTrue="1">
      <formula>$E$17="nee"</formula>
    </cfRule>
  </conditionalFormatting>
  <conditionalFormatting sqref="B31:B32 F31:F32">
    <cfRule type="expression" priority="12" dxfId="4" stopIfTrue="1">
      <formula>$E$29="nee"</formula>
    </cfRule>
  </conditionalFormatting>
  <conditionalFormatting sqref="F44:F47 B44:B47">
    <cfRule type="expression" priority="13" dxfId="5" stopIfTrue="1">
      <formula>$E$29="nee"</formula>
    </cfRule>
  </conditionalFormatting>
  <conditionalFormatting sqref="F48 B48">
    <cfRule type="expression" priority="14" dxfId="5" stopIfTrue="1">
      <formula>$E$29="nee"</formula>
    </cfRule>
    <cfRule type="expression" priority="15" dxfId="6" stopIfTrue="1">
      <formula>$E$47="utiliteit"</formula>
    </cfRule>
    <cfRule type="expression" priority="16" dxfId="6" stopIfTrue="1">
      <formula>$E$47="beide"</formula>
    </cfRule>
  </conditionalFormatting>
  <conditionalFormatting sqref="F49 B49">
    <cfRule type="expression" priority="17" dxfId="5" stopIfTrue="1">
      <formula>$E$29="nee"</formula>
    </cfRule>
    <cfRule type="expression" priority="18" dxfId="7" stopIfTrue="1">
      <formula>$E$47="woningen"</formula>
    </cfRule>
  </conditionalFormatting>
  <conditionalFormatting sqref="F39:G42">
    <cfRule type="expression" priority="19" dxfId="5" stopIfTrue="1">
      <formula>$E$23="nee"</formula>
    </cfRule>
  </conditionalFormatting>
  <conditionalFormatting sqref="F37 B37">
    <cfRule type="expression" priority="20" dxfId="5" stopIfTrue="1">
      <formula>$E$17="nee"</formula>
    </cfRule>
  </conditionalFormatting>
  <conditionalFormatting sqref="E36:F36">
    <cfRule type="expression" priority="21" dxfId="8" stopIfTrue="1">
      <formula>$E$17="nee"</formula>
    </cfRule>
  </conditionalFormatting>
  <conditionalFormatting sqref="E38:F38">
    <cfRule type="expression" priority="22" dxfId="9" stopIfTrue="1">
      <formula>$E$23="nee"</formula>
    </cfRule>
  </conditionalFormatting>
  <conditionalFormatting sqref="C43:F43">
    <cfRule type="expression" priority="23" dxfId="9" stopIfTrue="1">
      <formula>$E$29="nee"</formula>
    </cfRule>
  </conditionalFormatting>
  <conditionalFormatting sqref="I1:I4">
    <cfRule type="expression" priority="24" dxfId="0" stopIfTrue="1">
      <formula>#REF!=1</formula>
    </cfRule>
  </conditionalFormatting>
  <conditionalFormatting sqref="C38:D38">
    <cfRule type="expression" priority="25" dxfId="10" stopIfTrue="1">
      <formula>$E$23="nee"</formula>
    </cfRule>
  </conditionalFormatting>
  <conditionalFormatting sqref="N24">
    <cfRule type="cellIs" priority="26" dxfId="11" operator="equal" stopIfTrue="1">
      <formula>"'#N/B'"</formula>
    </cfRule>
  </conditionalFormatting>
  <conditionalFormatting sqref="C37:D37">
    <cfRule type="expression" priority="27" dxfId="12" stopIfTrue="1">
      <formula>$E$17="nee"</formula>
    </cfRule>
    <cfRule type="expression" priority="28" dxfId="13" stopIfTrue="1">
      <formula>$E$17="niet bekend"</formula>
    </cfRule>
  </conditionalFormatting>
  <conditionalFormatting sqref="C18:D21">
    <cfRule type="expression" priority="29" dxfId="13" stopIfTrue="1">
      <formula>$E$17="nee"</formula>
    </cfRule>
    <cfRule type="expression" priority="30" dxfId="13" stopIfTrue="1">
      <formula>$E$17="niet bekend"</formula>
    </cfRule>
  </conditionalFormatting>
  <conditionalFormatting sqref="E18:E21">
    <cfRule type="expression" priority="31" dxfId="12" stopIfTrue="1">
      <formula>$E$17="nee"</formula>
    </cfRule>
    <cfRule type="expression" priority="32" dxfId="0" stopIfTrue="1">
      <formula>I18=1</formula>
    </cfRule>
    <cfRule type="expression" priority="33" dxfId="12" stopIfTrue="1">
      <formula>$E$17="niet bekend"</formula>
    </cfRule>
  </conditionalFormatting>
  <conditionalFormatting sqref="E37">
    <cfRule type="expression" priority="34" dxfId="5" stopIfTrue="1">
      <formula>$E$17="nee"</formula>
    </cfRule>
    <cfRule type="expression" priority="35" dxfId="0" stopIfTrue="1">
      <formula>I37=1</formula>
    </cfRule>
    <cfRule type="expression" priority="36" dxfId="12" stopIfTrue="1">
      <formula>$E$17="niet bekend"</formula>
    </cfRule>
  </conditionalFormatting>
  <conditionalFormatting sqref="B36">
    <cfRule type="expression" priority="37" dxfId="14" stopIfTrue="1">
      <formula>$E$17="nee"</formula>
    </cfRule>
    <cfRule type="expression" priority="38" dxfId="13" stopIfTrue="1">
      <formula>$E$17="niet bekend"</formula>
    </cfRule>
  </conditionalFormatting>
  <conditionalFormatting sqref="C24:D27 C39:D42">
    <cfRule type="expression" priority="39" dxfId="12" stopIfTrue="1">
      <formula>$E$23="nee"</formula>
    </cfRule>
    <cfRule type="expression" priority="40" dxfId="13" stopIfTrue="1">
      <formula>$E$23="niet bekend"</formula>
    </cfRule>
  </conditionalFormatting>
  <conditionalFormatting sqref="E24:E27 E39:E42">
    <cfRule type="expression" priority="41" dxfId="12" stopIfTrue="1">
      <formula>$E$23="nee"</formula>
    </cfRule>
    <cfRule type="expression" priority="42" dxfId="0" stopIfTrue="1">
      <formula>I24=1</formula>
    </cfRule>
    <cfRule type="expression" priority="43" dxfId="12" stopIfTrue="1">
      <formula>$E$23="niet bekend"</formula>
    </cfRule>
  </conditionalFormatting>
  <conditionalFormatting sqref="B38">
    <cfRule type="expression" priority="44" dxfId="14" stopIfTrue="1">
      <formula>$E$23="nee"</formula>
    </cfRule>
    <cfRule type="expression" priority="45" dxfId="13" stopIfTrue="1">
      <formula>$E$23="niet bekend"</formula>
    </cfRule>
  </conditionalFormatting>
  <conditionalFormatting sqref="C30:D32">
    <cfRule type="expression" priority="46" dxfId="13" stopIfTrue="1">
      <formula>$E$29="nee"</formula>
    </cfRule>
    <cfRule type="expression" priority="47" dxfId="13" stopIfTrue="1">
      <formula>$E$29="niet bekend"</formula>
    </cfRule>
  </conditionalFormatting>
  <conditionalFormatting sqref="E30:E32">
    <cfRule type="expression" priority="48" dxfId="4" stopIfTrue="1">
      <formula>$E$29="nee"</formula>
    </cfRule>
    <cfRule type="expression" priority="49" dxfId="0" stopIfTrue="1">
      <formula>I30=1</formula>
    </cfRule>
    <cfRule type="expression" priority="50" dxfId="12" stopIfTrue="1">
      <formula>$E$29="niet bekend"</formula>
    </cfRule>
  </conditionalFormatting>
  <conditionalFormatting sqref="E44:E47">
    <cfRule type="expression" priority="51" dxfId="12" stopIfTrue="1">
      <formula>$E$29="nee"</formula>
    </cfRule>
    <cfRule type="expression" priority="52" dxfId="0" stopIfTrue="1">
      <formula>I44=1</formula>
    </cfRule>
    <cfRule type="expression" priority="53" dxfId="12" stopIfTrue="1">
      <formula>$E$29="niet bekend"</formula>
    </cfRule>
  </conditionalFormatting>
  <conditionalFormatting sqref="E49">
    <cfRule type="expression" priority="54" dxfId="5" stopIfTrue="1">
      <formula>OR($E$29="nee",$E$29="niet bekend")</formula>
    </cfRule>
    <cfRule type="expression" priority="55" dxfId="5" stopIfTrue="1">
      <formula>$E$47="woningen"</formula>
    </cfRule>
    <cfRule type="expression" priority="56" dxfId="0" stopIfTrue="1">
      <formula>I49=1</formula>
    </cfRule>
  </conditionalFormatting>
  <conditionalFormatting sqref="C44:D49">
    <cfRule type="expression" priority="57" dxfId="12" stopIfTrue="1">
      <formula>OR($E$29="nee",$E$29="niet bekend")</formula>
    </cfRule>
  </conditionalFormatting>
  <conditionalFormatting sqref="B43">
    <cfRule type="expression" priority="58" dxfId="10" stopIfTrue="1">
      <formula>OR($E$29="nee",$E$29="niet bekend")</formula>
    </cfRule>
  </conditionalFormatting>
  <conditionalFormatting sqref="E48">
    <cfRule type="expression" priority="59" dxfId="12" stopIfTrue="1">
      <formula>OR($E$29="nee",$E$29="niet bekend")</formula>
    </cfRule>
    <cfRule type="expression" priority="60" dxfId="12" stopIfTrue="1">
      <formula>OR($E$47="utiliteit",$E$47="beide")</formula>
    </cfRule>
    <cfRule type="expression" priority="61" dxfId="0" stopIfTrue="1">
      <formula>I48=1</formula>
    </cfRule>
  </conditionalFormatting>
  <dataValidations count="11">
    <dataValidation type="list" allowBlank="1" showInputMessage="1" showErrorMessage="1" sqref="E46 E42 E39 E37 E29 E25 E23 E19 E17 E12 E10">
      <formula1>$E$71:$E$73</formula1>
    </dataValidation>
    <dataValidation type="list" allowBlank="1" showInputMessage="1" showErrorMessage="1" sqref="E44 E40">
      <formula1>$E$78:$E$82</formula1>
    </dataValidation>
    <dataValidation type="list" allowBlank="1" showInputMessage="1" showErrorMessage="1" sqref="E45 E41">
      <formula1>$E$83:$E$85</formula1>
    </dataValidation>
    <dataValidation type="list" allowBlank="1" showInputMessage="1" showErrorMessage="1" sqref="E48:E49">
      <formula1>$E$89:$E$94</formula1>
    </dataValidation>
    <dataValidation type="list" allowBlank="1" showInputMessage="1" showErrorMessage="1" sqref="E31 E26 E20 E8">
      <formula1>$E$61:$E$65</formula1>
    </dataValidation>
    <dataValidation type="list" allowBlank="1" showInputMessage="1" showErrorMessage="1" sqref="E32 E27 E21 E9">
      <formula1>$E$66:$E$70</formula1>
    </dataValidation>
    <dataValidation type="list" allowBlank="1" showInputMessage="1" showErrorMessage="1" sqref="E30 E24 E7">
      <formula1>$E$57:$E$60</formula1>
    </dataValidation>
    <dataValidation type="list" allowBlank="1" showInputMessage="1" showErrorMessage="1" sqref="E11">
      <formula1>$E$74:$E$77</formula1>
    </dataValidation>
    <dataValidation type="list" allowBlank="1" showInputMessage="1" showErrorMessage="1" sqref="E47">
      <formula1>$E$86:$E$88</formula1>
    </dataValidation>
    <dataValidation type="list" allowBlank="1" showInputMessage="1" showErrorMessage="1" sqref="N22">
      <formula1>$E$95:$E$98</formula1>
    </dataValidation>
    <dataValidation type="list" allowBlank="1" showInputMessage="1" showErrorMessage="1" sqref="E18">
      <formula1>$E$57:$E$60</formula1>
    </dataValidation>
  </dataValidations>
  <printOptions/>
  <pageMargins left="0.75" right="0.75" top="1" bottom="1" header="0.5" footer="0.5"/>
  <pageSetup horizontalDpi="600" verticalDpi="600" orientation="portrait" paperSize="9" scale="65"/>
  <rowBreaks count="1" manualBreakCount="1">
    <brk id="52" max="15" man="1"/>
  </rowBreaks>
  <colBreaks count="1" manualBreakCount="1">
    <brk id="6" max="51" man="1"/>
  </colBreaks>
  <ignoredErrors>
    <ignoredError sqref="N24" evalError="1"/>
  </ignoredErrors>
  <legacyDrawing r:id="rId2"/>
</worksheet>
</file>

<file path=xl/worksheets/sheet3.xml><?xml version="1.0" encoding="utf-8"?>
<worksheet xmlns="http://schemas.openxmlformats.org/spreadsheetml/2006/main" xmlns:r="http://schemas.openxmlformats.org/officeDocument/2006/relationships">
  <sheetPr codeName="Blad2"/>
  <dimension ref="A2:AB224"/>
  <sheetViews>
    <sheetView zoomScale="84" zoomScaleNormal="84" zoomScaleSheetLayoutView="75" workbookViewId="0" topLeftCell="A1">
      <selection activeCell="A1" sqref="A1"/>
    </sheetView>
  </sheetViews>
  <sheetFormatPr defaultColWidth="9.140625" defaultRowHeight="12.75"/>
  <cols>
    <col min="1" max="1" width="2.140625" style="6" customWidth="1"/>
    <col min="2" max="2" width="39.8515625" style="6" customWidth="1"/>
    <col min="3" max="5" width="44.421875" style="5" customWidth="1"/>
    <col min="6" max="6" width="4.7109375" style="5" customWidth="1"/>
    <col min="7" max="7" width="2.7109375" style="6" customWidth="1"/>
    <col min="8" max="8" width="23.57421875" style="6" customWidth="1"/>
    <col min="9" max="9" width="2.8515625" style="5" customWidth="1"/>
    <col min="10" max="10" width="2.8515625" style="6" customWidth="1"/>
    <col min="11" max="11" width="23.57421875" style="6" customWidth="1"/>
    <col min="12" max="12" width="2.8515625" style="5" customWidth="1"/>
    <col min="13" max="13" width="5.00390625" style="5" customWidth="1"/>
    <col min="14" max="14" width="4.00390625" style="6" customWidth="1"/>
    <col min="15" max="15" width="23.57421875" style="6" bestFit="1" customWidth="1"/>
    <col min="16" max="16" width="2.7109375" style="5" customWidth="1"/>
    <col min="17" max="17" width="3.28125" style="6" customWidth="1"/>
    <col min="18" max="18" width="23.57421875" style="6" bestFit="1" customWidth="1"/>
    <col min="19" max="19" width="2.7109375" style="5" customWidth="1"/>
    <col min="20" max="20" width="5.28125" style="6" customWidth="1"/>
    <col min="21" max="21" width="3.421875" style="6" customWidth="1"/>
    <col min="22" max="22" width="23.57421875" style="6" bestFit="1" customWidth="1"/>
    <col min="23" max="23" width="3.00390625" style="5" customWidth="1"/>
    <col min="24" max="24" width="2.7109375" style="6" customWidth="1"/>
    <col min="25" max="25" width="23.57421875" style="6" bestFit="1" customWidth="1"/>
    <col min="26" max="26" width="2.7109375" style="5" customWidth="1"/>
    <col min="27" max="27" width="10.00390625" style="6" customWidth="1"/>
    <col min="28" max="16384" width="9.140625" style="6" customWidth="1"/>
  </cols>
  <sheetData>
    <row r="1" ht="24" customHeight="1" thickBot="1"/>
    <row r="2" spans="2:26" s="3" customFormat="1" ht="14.25" hidden="1" thickBot="1">
      <c r="B2" s="1" t="s">
        <v>85</v>
      </c>
      <c r="C2" s="2"/>
      <c r="D2" s="2"/>
      <c r="E2" s="2"/>
      <c r="F2" s="2"/>
      <c r="I2" s="2"/>
      <c r="L2" s="2"/>
      <c r="M2" s="2"/>
      <c r="P2" s="2"/>
      <c r="S2" s="2"/>
      <c r="W2" s="2"/>
      <c r="Z2" s="2"/>
    </row>
    <row r="3" ht="13.5" hidden="1">
      <c r="B3" s="4"/>
    </row>
    <row r="4" ht="14.25" hidden="1" thickBot="1"/>
    <row r="5" spans="2:5" ht="14.25" thickBot="1">
      <c r="B5" s="7"/>
      <c r="C5" s="8" t="s">
        <v>240</v>
      </c>
      <c r="D5" s="9" t="s">
        <v>241</v>
      </c>
      <c r="E5" s="8" t="s">
        <v>245</v>
      </c>
    </row>
    <row r="6" spans="2:5" ht="13.5">
      <c r="B6" s="223" t="s">
        <v>132</v>
      </c>
      <c r="C6" s="224"/>
      <c r="D6" s="224"/>
      <c r="E6" s="224"/>
    </row>
    <row r="7" spans="2:5" ht="26.25" customHeight="1">
      <c r="B7" s="211" t="s">
        <v>243</v>
      </c>
      <c r="C7" s="210" t="str">
        <f>IF(L29=1,F147,(IF(I29=1,F148,IF(I31=1,F149,IF(I33=1,F151,IF(I35=1,F152,IF(I37=1,F153," ")))))))</f>
        <v> </v>
      </c>
      <c r="D7" s="210" t="str">
        <f>IF(S29=1,M147,IF(P29=1,M148,IF(P31=1,M149,IF(P33=1,M151,IF(P35=1,M152,IF(P37=1,M153," "))))))</f>
        <v> </v>
      </c>
      <c r="E7" s="210">
        <f>IF(Z29=1,T147,IF(Z31=1,T148,IF(Z35=1,T149,IF(W29=1,M148,IF(W31=1,M149,IF(W33=1,T151,IF(W35=1,T153,IF(W37=1,T152,""))))))))</f>
      </c>
    </row>
    <row r="8" spans="2:5" ht="26.25" customHeight="1" hidden="1">
      <c r="B8" s="211" t="s">
        <v>124</v>
      </c>
      <c r="C8" s="197"/>
      <c r="D8" s="197"/>
      <c r="E8" s="197"/>
    </row>
    <row r="9" spans="2:5" ht="26.25" customHeight="1">
      <c r="B9" s="211" t="s">
        <v>133</v>
      </c>
      <c r="C9" s="210" t="str">
        <f>IF(L43=1,F154,IF(L45=1,F155,IF(L48=1,F156,IF(L51=1,F155,IF(I43=1,F158,IF(I46=1,F158,IF(I49=1,F162,IF(I51=1,F164," "))))))))</f>
        <v> </v>
      </c>
      <c r="D9" s="210" t="str">
        <f>IF(S43=1,M154,IF(S45=1,M155,IF(S48=1,M156,IF(S51=1,M155,IF(P43=1,M158,IF(P46=1,M158,IF(P49=1,M162,IF(P51=1,M164," "))))))))</f>
        <v> </v>
      </c>
      <c r="E9" s="210" t="str">
        <f>IF(Z43=1,T154,IF(Z45=1,T155,IF(Z48=1,T156,IF(Z51=1,T155,IF(W43=1,T158,IF(W46=1,T158,IF(W49=1,T162,IF(W51=1,T164," "))))))))</f>
        <v> </v>
      </c>
    </row>
    <row r="10" spans="2:5" ht="26.25" customHeight="1">
      <c r="B10" s="211" t="s">
        <v>237</v>
      </c>
      <c r="C10" s="210" t="str">
        <f>IF(L54=1,F154,IF(L56=1,F157,IF(I57=1,F159,IF(I54=1,F160,IF(I60=1,F161,IF(I63=1,F163,IF(I65=1,F165," ")))))))</f>
        <v> </v>
      </c>
      <c r="D10" s="210" t="str">
        <f>IF(S43=1,M154,IF(S56=1,M157,IF(P54=1,M159,IF(P57=1,M160,IF(P60=1,M161,IF(P63=1,M163,IF(P65=1,M165," ")))))))</f>
        <v> </v>
      </c>
      <c r="E10" s="210" t="str">
        <f>IF(Z43=1,T154,IF(Z56=1,T157,IF(W54=1,T159,IF(W57=1,T160,IF(W60=1,T161,IF(W63=1,T163,IF(W65=1,T165," ")))))))</f>
        <v> </v>
      </c>
    </row>
    <row r="11" spans="2:27" ht="26.25" customHeight="1">
      <c r="B11" s="211" t="s">
        <v>134</v>
      </c>
      <c r="C11" s="210" t="str">
        <f>IF(L29=1,F166,IF(I69=1,F167," "))</f>
        <v> </v>
      </c>
      <c r="D11" s="210" t="str">
        <f>IF(S29=1,M166,IF(P69=1,M167," "))</f>
        <v> </v>
      </c>
      <c r="E11" s="210" t="str">
        <f>IF(Z29=1,T166,IF(W69=1,T167," "))</f>
        <v> </v>
      </c>
      <c r="H11" s="14"/>
      <c r="I11" s="13"/>
      <c r="J11" s="14"/>
      <c r="K11" s="14"/>
      <c r="L11" s="13"/>
      <c r="M11" s="13"/>
      <c r="N11" s="14"/>
      <c r="O11" s="14"/>
      <c r="P11" s="13"/>
      <c r="Q11" s="14"/>
      <c r="R11" s="14"/>
      <c r="S11" s="13"/>
      <c r="T11" s="14"/>
      <c r="U11" s="14"/>
      <c r="V11" s="14"/>
      <c r="W11" s="13"/>
      <c r="X11" s="14"/>
      <c r="Y11" s="14"/>
      <c r="Z11" s="13"/>
      <c r="AA11" s="14"/>
    </row>
    <row r="12" spans="2:27" ht="26.25" customHeight="1" thickBot="1">
      <c r="B12" s="212" t="s">
        <v>292</v>
      </c>
      <c r="C12" s="210" t="str">
        <f>IF(L70=1,F168,IF(I70=1,F169,IF(I72=1,F170,IF(I74=1,F171,IF(I76=1,F172," ")))))</f>
        <v> </v>
      </c>
      <c r="D12" s="210" t="str">
        <f>IF(S70=1,M168,IF(P70=1,M169,IF(P72=1,M170,IF(P74=1,M171,IF(P76=1,M172," ")))))</f>
        <v> </v>
      </c>
      <c r="E12" s="210" t="str">
        <f>IF(Z70=1,T168,IF(W70=1,T169,IF(W72=1,T171," ")))</f>
        <v> </v>
      </c>
      <c r="H12" s="14"/>
      <c r="I12" s="13"/>
      <c r="J12" s="14"/>
      <c r="K12" s="14"/>
      <c r="L12" s="13"/>
      <c r="M12" s="13"/>
      <c r="N12" s="14"/>
      <c r="O12" s="14"/>
      <c r="P12" s="13"/>
      <c r="Q12" s="14"/>
      <c r="R12" s="14"/>
      <c r="S12" s="13"/>
      <c r="T12" s="14"/>
      <c r="U12" s="14"/>
      <c r="V12" s="14"/>
      <c r="W12" s="13"/>
      <c r="X12" s="14"/>
      <c r="Y12" s="14"/>
      <c r="Z12" s="13"/>
      <c r="AA12" s="14"/>
    </row>
    <row r="13" spans="2:27" ht="14.25" hidden="1" thickBot="1">
      <c r="B13" s="159"/>
      <c r="C13" s="10"/>
      <c r="D13" s="10"/>
      <c r="E13" s="160"/>
      <c r="H13" s="14"/>
      <c r="I13" s="13"/>
      <c r="J13" s="14"/>
      <c r="K13" s="14"/>
      <c r="L13" s="13"/>
      <c r="M13" s="13"/>
      <c r="N13" s="14"/>
      <c r="O13" s="14"/>
      <c r="P13" s="13"/>
      <c r="Q13" s="14"/>
      <c r="R13" s="14"/>
      <c r="S13" s="13"/>
      <c r="T13" s="14"/>
      <c r="U13" s="14"/>
      <c r="V13" s="14"/>
      <c r="W13" s="13"/>
      <c r="X13" s="14"/>
      <c r="Y13" s="14"/>
      <c r="Z13" s="13"/>
      <c r="AA13" s="14"/>
    </row>
    <row r="14" spans="2:27" ht="13.5">
      <c r="B14" s="220" t="s">
        <v>11</v>
      </c>
      <c r="C14" s="221"/>
      <c r="D14" s="221"/>
      <c r="E14" s="222"/>
      <c r="H14" s="14"/>
      <c r="I14" s="13"/>
      <c r="J14" s="14"/>
      <c r="K14" s="14"/>
      <c r="L14" s="13"/>
      <c r="M14" s="13"/>
      <c r="N14" s="14"/>
      <c r="O14" s="14"/>
      <c r="P14" s="13"/>
      <c r="Q14" s="14"/>
      <c r="R14" s="14"/>
      <c r="S14" s="13"/>
      <c r="T14" s="14"/>
      <c r="U14" s="14"/>
      <c r="V14" s="14"/>
      <c r="W14" s="13"/>
      <c r="X14" s="14"/>
      <c r="Y14" s="14"/>
      <c r="Z14" s="13"/>
      <c r="AA14" s="14"/>
    </row>
    <row r="15" spans="2:27" ht="26.25" customHeight="1">
      <c r="B15" s="213" t="s">
        <v>20</v>
      </c>
      <c r="C15" s="210">
        <f>IF(L29=1,F154,IF(I39=1,F150,""))</f>
      </c>
      <c r="D15" s="210">
        <f>IF(S29=1,M154,IF(P39=1,M150,""))</f>
      </c>
      <c r="E15" s="210">
        <f>IF(Z29=1,T154,IF(W39=1,T150,""))</f>
      </c>
      <c r="H15" s="14"/>
      <c r="I15" s="13"/>
      <c r="J15" s="14"/>
      <c r="K15" s="14"/>
      <c r="L15" s="13"/>
      <c r="M15" s="13"/>
      <c r="N15" s="14"/>
      <c r="O15" s="14"/>
      <c r="P15" s="13"/>
      <c r="Q15" s="14"/>
      <c r="R15" s="14"/>
      <c r="S15" s="13"/>
      <c r="T15" s="14"/>
      <c r="U15" s="14"/>
      <c r="V15" s="14"/>
      <c r="W15" s="13"/>
      <c r="X15" s="14"/>
      <c r="Y15" s="14"/>
      <c r="Z15" s="13"/>
      <c r="AA15" s="14"/>
    </row>
    <row r="16" spans="2:27" ht="26.25" customHeight="1">
      <c r="B16" s="213" t="s">
        <v>10</v>
      </c>
      <c r="C16" s="210" t="str">
        <f>IF(L81=1,F174,IF(I81=1,F175,IF(I83=1,F176," ")))</f>
        <v> </v>
      </c>
      <c r="D16" s="210" t="str">
        <f>IF(S81=1,M174,IF(P81=1,M175,IF(P83=1,M176," ")))</f>
        <v> </v>
      </c>
      <c r="E16" s="210" t="str">
        <f>IF(Z81=1,T174,IF(W81=1,T175,IF(W83=1,T176," ")))</f>
        <v> </v>
      </c>
      <c r="H16" s="14"/>
      <c r="I16" s="14"/>
      <c r="J16" s="14"/>
      <c r="K16" s="14"/>
      <c r="L16" s="13"/>
      <c r="M16" s="13"/>
      <c r="N16" s="14"/>
      <c r="O16" s="14"/>
      <c r="P16" s="14"/>
      <c r="Q16" s="14"/>
      <c r="R16" s="14"/>
      <c r="S16" s="13"/>
      <c r="T16" s="14"/>
      <c r="U16" s="14"/>
      <c r="V16" s="14"/>
      <c r="W16" s="14"/>
      <c r="X16" s="14"/>
      <c r="Y16" s="14"/>
      <c r="Z16" s="14"/>
      <c r="AA16" s="14"/>
    </row>
    <row r="17" spans="2:27" ht="26.25" customHeight="1">
      <c r="B17" s="213" t="s">
        <v>161</v>
      </c>
      <c r="C17" s="216"/>
      <c r="D17" s="210">
        <f>IF(S85=1,M177,IF(S88=1,M179,IF(S91=1,M179,IF(S94=1,M180,IF(P85=1,M182,IF(P88=1,M183,IF(P91=1,M185,IF(P94=1,M186,""))))))))</f>
      </c>
      <c r="E17" s="210">
        <f>IF(Z85=1,T177,IF(Z88=1,T179,IF(Z91=1,T180,IF(W85=1,T182,IF(W88=1,T183,IF(W91=1,T185,""))))))</f>
      </c>
      <c r="H17" s="14"/>
      <c r="I17" s="14"/>
      <c r="J17" s="14"/>
      <c r="K17" s="14"/>
      <c r="L17" s="13"/>
      <c r="M17" s="13"/>
      <c r="N17" s="14"/>
      <c r="O17" s="14"/>
      <c r="P17" s="14"/>
      <c r="Q17" s="14"/>
      <c r="R17" s="14"/>
      <c r="S17" s="13"/>
      <c r="T17" s="14"/>
      <c r="U17" s="14"/>
      <c r="V17" s="14"/>
      <c r="W17" s="14"/>
      <c r="X17" s="14"/>
      <c r="Y17" s="14"/>
      <c r="Z17" s="14"/>
      <c r="AA17" s="14"/>
    </row>
    <row r="18" spans="2:27" ht="26.25" customHeight="1">
      <c r="B18" s="214" t="s">
        <v>162</v>
      </c>
      <c r="C18" s="216"/>
      <c r="D18" s="210">
        <f>IF(S97=1,M177,IF(P106=1,M181,IF(P97=1,M187,IF(P100=1,M188,IF(P103=1,M189,IF(P110=1,M190,IF(P112=1,M191,IF(P114=1,M192,""))))))))</f>
      </c>
      <c r="E18" s="210">
        <f>IF(Z97=1,T177,IF(W110=1,T181,IF(W97=1,T187,IF(W100=1,T188,IF(W103=1,T189,IF(W106=1,T190,IF(W112=1,T191,IF(W114=1,T192,""))))))))</f>
      </c>
      <c r="H18" s="14"/>
      <c r="I18" s="14"/>
      <c r="J18" s="14"/>
      <c r="K18" s="14"/>
      <c r="L18" s="13"/>
      <c r="M18" s="14"/>
      <c r="N18" s="14"/>
      <c r="O18" s="14"/>
      <c r="P18" s="14"/>
      <c r="Q18" s="14"/>
      <c r="R18" s="14"/>
      <c r="S18" s="13"/>
      <c r="T18" s="13"/>
      <c r="U18" s="14"/>
      <c r="V18" s="14"/>
      <c r="W18" s="14"/>
      <c r="X18" s="14"/>
      <c r="Y18" s="14"/>
      <c r="Z18" s="14"/>
      <c r="AA18" s="14"/>
    </row>
    <row r="19" spans="2:27" ht="26.25" customHeight="1">
      <c r="B19" s="214" t="s">
        <v>164</v>
      </c>
      <c r="C19" s="216"/>
      <c r="D19" s="218"/>
      <c r="E19" s="210">
        <f>IF(Z116=1,T193,IF(Z118=1,T194,IF(Z120=1,T195,IF(Z123=1,T196,IF(W116=1,T197,IF(W119=1,T198,IF(W122=1,T199,IF(W125=1,T201,""))))))))</f>
      </c>
      <c r="H19" s="14"/>
      <c r="I19" s="14"/>
      <c r="J19" s="14"/>
      <c r="K19" s="14"/>
      <c r="L19" s="13"/>
      <c r="M19" s="14"/>
      <c r="N19" s="14"/>
      <c r="O19" s="14"/>
      <c r="P19" s="14"/>
      <c r="Q19" s="14"/>
      <c r="R19" s="14"/>
      <c r="S19" s="13"/>
      <c r="T19" s="13"/>
      <c r="U19" s="14"/>
      <c r="V19" s="14"/>
      <c r="W19" s="14"/>
      <c r="X19" s="14"/>
      <c r="Y19" s="14"/>
      <c r="Z19" s="14"/>
      <c r="AA19" s="14"/>
    </row>
    <row r="20" spans="2:27" ht="26.25" customHeight="1" thickBot="1">
      <c r="B20" s="215" t="s">
        <v>163</v>
      </c>
      <c r="C20" s="217"/>
      <c r="D20" s="217"/>
      <c r="E20" s="210">
        <f>IF(Z127=1,T193,IF(Z129=1,T202,IF(Z131=1,T203,IF(W127=1,T205,IF(W130=1,T206,IF(W133=1,T207,IF(W136=1,T209,IF(Z134=1,T204,""))))))))</f>
      </c>
      <c r="H20" s="14"/>
      <c r="I20" s="14"/>
      <c r="J20" s="14"/>
      <c r="K20" s="14"/>
      <c r="L20" s="13"/>
      <c r="M20" s="13"/>
      <c r="N20" s="14"/>
      <c r="O20" s="14"/>
      <c r="P20" s="14"/>
      <c r="Q20" s="14"/>
      <c r="R20" s="14"/>
      <c r="S20" s="13"/>
      <c r="T20" s="14"/>
      <c r="U20" s="14"/>
      <c r="V20" s="14"/>
      <c r="W20" s="14"/>
      <c r="X20" s="14"/>
      <c r="Y20" s="14"/>
      <c r="Z20" s="13"/>
      <c r="AA20" s="14"/>
    </row>
    <row r="21" spans="2:27" ht="13.5">
      <c r="B21" s="11"/>
      <c r="C21" s="12"/>
      <c r="D21" s="13"/>
      <c r="E21" s="13"/>
      <c r="F21" s="13"/>
      <c r="H21" s="14"/>
      <c r="I21" s="14"/>
      <c r="J21" s="14"/>
      <c r="K21" s="14"/>
      <c r="L21" s="13"/>
      <c r="M21" s="13"/>
      <c r="N21" s="14"/>
      <c r="O21" s="14"/>
      <c r="P21" s="14"/>
      <c r="Q21" s="14"/>
      <c r="R21" s="14"/>
      <c r="S21" s="13"/>
      <c r="T21" s="14"/>
      <c r="U21" s="14"/>
      <c r="V21" s="14"/>
      <c r="W21" s="14"/>
      <c r="X21" s="14"/>
      <c r="Y21" s="14"/>
      <c r="Z21" s="13"/>
      <c r="AA21" s="14"/>
    </row>
    <row r="22" spans="2:27" ht="13.5">
      <c r="B22" s="15"/>
      <c r="C22" s="12"/>
      <c r="D22" s="13"/>
      <c r="E22" s="13"/>
      <c r="F22" s="13"/>
      <c r="H22" s="14"/>
      <c r="I22" s="14"/>
      <c r="J22" s="14"/>
      <c r="K22" s="14"/>
      <c r="L22" s="13"/>
      <c r="M22" s="13"/>
      <c r="N22" s="14"/>
      <c r="O22" s="14"/>
      <c r="P22" s="14"/>
      <c r="Q22" s="14"/>
      <c r="R22" s="14"/>
      <c r="S22" s="13"/>
      <c r="T22" s="14"/>
      <c r="U22" s="14"/>
      <c r="V22" s="14"/>
      <c r="W22" s="14"/>
      <c r="X22" s="14"/>
      <c r="Y22" s="14"/>
      <c r="Z22" s="13"/>
      <c r="AA22" s="14"/>
    </row>
    <row r="23" spans="2:27" ht="14.25" thickBot="1">
      <c r="B23" s="16"/>
      <c r="C23" s="13"/>
      <c r="D23" s="13"/>
      <c r="E23" s="13"/>
      <c r="F23" s="13"/>
      <c r="H23" s="14"/>
      <c r="I23" s="14"/>
      <c r="J23" s="14"/>
      <c r="K23" s="14"/>
      <c r="L23" s="13"/>
      <c r="M23" s="13"/>
      <c r="N23" s="14"/>
      <c r="O23" s="14"/>
      <c r="P23" s="14"/>
      <c r="Q23" s="14"/>
      <c r="R23" s="14"/>
      <c r="S23" s="13"/>
      <c r="T23" s="14"/>
      <c r="U23" s="14"/>
      <c r="V23" s="14"/>
      <c r="W23" s="14"/>
      <c r="X23" s="14"/>
      <c r="Y23" s="14"/>
      <c r="Z23" s="13"/>
      <c r="AA23" s="14"/>
    </row>
    <row r="24" spans="2:27" ht="14.25" thickBot="1">
      <c r="B24" s="16" t="s">
        <v>329</v>
      </c>
      <c r="C24" s="219"/>
      <c r="D24" s="219"/>
      <c r="E24" s="219"/>
      <c r="F24" s="13"/>
      <c r="H24" s="14"/>
      <c r="I24" s="14"/>
      <c r="J24" s="14"/>
      <c r="K24" s="14"/>
      <c r="L24" s="13"/>
      <c r="M24" s="13"/>
      <c r="N24" s="14"/>
      <c r="O24" s="14"/>
      <c r="P24" s="14"/>
      <c r="Q24" s="14"/>
      <c r="R24" s="14"/>
      <c r="S24" s="13"/>
      <c r="T24" s="14"/>
      <c r="U24" s="14"/>
      <c r="V24" s="14"/>
      <c r="W24" s="14"/>
      <c r="X24" s="14"/>
      <c r="Y24" s="14"/>
      <c r="Z24" s="13"/>
      <c r="AA24" s="14"/>
    </row>
    <row r="25" spans="6:27" ht="13.5">
      <c r="F25" s="13"/>
      <c r="H25" s="14"/>
      <c r="I25" s="14"/>
      <c r="J25" s="14"/>
      <c r="K25" s="14"/>
      <c r="L25" s="13"/>
      <c r="M25" s="13"/>
      <c r="N25" s="14"/>
      <c r="O25" s="14"/>
      <c r="P25" s="14"/>
      <c r="Q25" s="14"/>
      <c r="R25" s="14"/>
      <c r="S25" s="13"/>
      <c r="T25" s="14"/>
      <c r="U25" s="14"/>
      <c r="V25" s="14"/>
      <c r="W25" s="14"/>
      <c r="X25" s="14"/>
      <c r="Y25" s="14"/>
      <c r="Z25" s="13"/>
      <c r="AA25" s="14"/>
    </row>
    <row r="26" spans="2:26" ht="15">
      <c r="B26" s="14"/>
      <c r="C26" s="165"/>
      <c r="D26" s="13"/>
      <c r="E26" s="13"/>
      <c r="F26" s="13"/>
      <c r="I26" s="6"/>
      <c r="L26" s="6"/>
      <c r="M26" s="6"/>
      <c r="P26" s="6"/>
      <c r="S26" s="6"/>
      <c r="W26" s="6"/>
      <c r="Z26" s="6"/>
    </row>
    <row r="27" spans="2:26" s="3" customFormat="1" ht="14.25" hidden="1" thickBot="1">
      <c r="B27" s="1" t="s">
        <v>84</v>
      </c>
      <c r="C27" s="2"/>
      <c r="D27" s="2"/>
      <c r="E27" s="2"/>
      <c r="F27" s="2"/>
      <c r="I27" s="2"/>
      <c r="L27" s="2"/>
      <c r="M27" s="2"/>
      <c r="P27" s="2"/>
      <c r="S27" s="2"/>
      <c r="W27" s="2"/>
      <c r="Z27" s="2"/>
    </row>
    <row r="28" spans="1:26" ht="14.25" hidden="1" thickBot="1">
      <c r="A28" s="6" t="str">
        <f>Input!C7</f>
        <v>1.</v>
      </c>
      <c r="B28" s="6" t="str">
        <f>Input!D7</f>
        <v>Voor hoeveel jaar is warmtelevering van deze bron mogelijk?</v>
      </c>
      <c r="C28" s="186">
        <f>Input!E7</f>
        <v>0</v>
      </c>
      <c r="D28" s="22" t="s">
        <v>24</v>
      </c>
      <c r="E28" s="13"/>
      <c r="F28" s="17"/>
      <c r="G28" s="18"/>
      <c r="H28" s="19" t="s">
        <v>32</v>
      </c>
      <c r="I28" s="20"/>
      <c r="J28" s="18"/>
      <c r="K28" s="19" t="s">
        <v>33</v>
      </c>
      <c r="L28" s="20"/>
      <c r="M28" s="21"/>
      <c r="N28" s="18"/>
      <c r="O28" s="19" t="s">
        <v>32</v>
      </c>
      <c r="P28" s="20"/>
      <c r="Q28" s="19"/>
      <c r="R28" s="19" t="s">
        <v>33</v>
      </c>
      <c r="S28" s="20"/>
      <c r="T28" s="21"/>
      <c r="U28" s="18"/>
      <c r="V28" s="19" t="s">
        <v>32</v>
      </c>
      <c r="W28" s="20"/>
      <c r="X28" s="19"/>
      <c r="Y28" s="19" t="s">
        <v>33</v>
      </c>
      <c r="Z28" s="20"/>
    </row>
    <row r="29" spans="1:26" ht="13.5" hidden="1">
      <c r="A29" s="6" t="str">
        <f>Input!C8</f>
        <v>2.</v>
      </c>
      <c r="B29" s="6" t="str">
        <f>Input!D8</f>
        <v>Wat is de omvang van het warmteaanbod?</v>
      </c>
      <c r="C29" s="186">
        <f>Input!E8</f>
        <v>0</v>
      </c>
      <c r="D29" s="5" t="s">
        <v>25</v>
      </c>
      <c r="F29" s="23" t="s">
        <v>127</v>
      </c>
      <c r="G29" s="133"/>
      <c r="H29" s="35" t="s">
        <v>34</v>
      </c>
      <c r="I29" s="36">
        <f>IF(C28="0-5 jaar",1,0)</f>
        <v>0</v>
      </c>
      <c r="J29" s="26"/>
      <c r="K29" s="26" t="s">
        <v>250</v>
      </c>
      <c r="L29" s="27">
        <f>IF(C35="nee",1,0)</f>
        <v>0</v>
      </c>
      <c r="M29" s="28" t="s">
        <v>128</v>
      </c>
      <c r="N29" s="133"/>
      <c r="O29" s="35" t="s">
        <v>34</v>
      </c>
      <c r="P29" s="36">
        <f>IF(C28="0-5 jaar",1,0)</f>
        <v>0</v>
      </c>
      <c r="Q29" s="26"/>
      <c r="R29" s="26" t="s">
        <v>58</v>
      </c>
      <c r="S29" s="27">
        <f>IF(C41="nee",1,0)</f>
        <v>0</v>
      </c>
      <c r="T29" s="28" t="s">
        <v>130</v>
      </c>
      <c r="U29" s="133"/>
      <c r="V29" s="35" t="s">
        <v>34</v>
      </c>
      <c r="W29" s="36">
        <f>IF(C28="0-5 jaar",1,0)</f>
        <v>0</v>
      </c>
      <c r="X29" s="26"/>
      <c r="Y29" s="26" t="s">
        <v>87</v>
      </c>
      <c r="Z29" s="27">
        <f>IF(C47="nee",1,0)</f>
        <v>0</v>
      </c>
    </row>
    <row r="30" spans="1:26" ht="13.5" hidden="1">
      <c r="A30" s="6" t="str">
        <f>Input!C9</f>
        <v>3.</v>
      </c>
      <c r="B30" s="6" t="str">
        <f>Input!D9</f>
        <v>Wat is de temperatuur van de warmtebron (aanvoer temperatuur afgiftesysteem)?</v>
      </c>
      <c r="C30" s="186">
        <f>Input!E9</f>
        <v>0</v>
      </c>
      <c r="D30" s="5" t="s">
        <v>25</v>
      </c>
      <c r="F30" s="30"/>
      <c r="I30" s="32"/>
      <c r="L30" s="32"/>
      <c r="M30" s="14"/>
      <c r="N30" s="33"/>
      <c r="O30" s="14"/>
      <c r="P30" s="32"/>
      <c r="Q30" s="14"/>
      <c r="R30" s="14"/>
      <c r="S30" s="32"/>
      <c r="U30" s="33"/>
      <c r="V30" s="14"/>
      <c r="W30" s="32"/>
      <c r="X30" s="14" t="s">
        <v>39</v>
      </c>
      <c r="Y30" s="14"/>
      <c r="Z30" s="32"/>
    </row>
    <row r="31" spans="1:26" ht="13.5" hidden="1">
      <c r="A31" s="6" t="str">
        <f>Input!C10</f>
        <v>4.</v>
      </c>
      <c r="B31" s="6" t="str">
        <f>Input!D10</f>
        <v>Zijn er andere restwarmtebronnen in de buurt aanwezig, die mogelijk benut kunnen worden i.c.m. bovenstaande bron?</v>
      </c>
      <c r="C31" s="186">
        <f>Input!E10</f>
        <v>0</v>
      </c>
      <c r="D31" s="5" t="s">
        <v>26</v>
      </c>
      <c r="F31" s="30"/>
      <c r="G31" s="38"/>
      <c r="H31" s="35" t="s">
        <v>36</v>
      </c>
      <c r="I31" s="36">
        <f>IF(C36="0-5 jaar",1,0)</f>
        <v>0</v>
      </c>
      <c r="L31" s="32"/>
      <c r="N31" s="38"/>
      <c r="O31" s="35" t="s">
        <v>55</v>
      </c>
      <c r="P31" s="36">
        <f>IF(C42="0-5 jaar",1,0)</f>
        <v>0</v>
      </c>
      <c r="S31" s="32"/>
      <c r="U31" s="38"/>
      <c r="V31" s="35" t="s">
        <v>70</v>
      </c>
      <c r="W31" s="36">
        <f>IF(C48="0-5 jaar",1,0)</f>
        <v>0</v>
      </c>
      <c r="X31" s="134"/>
      <c r="Y31" s="40" t="s">
        <v>34</v>
      </c>
      <c r="Z31" s="41">
        <f>IF(C28="0-5 jaar",IF(C31="nee",IF(C32="nee",1,0),0),0)</f>
        <v>0</v>
      </c>
    </row>
    <row r="32" spans="1:26" ht="13.5" hidden="1">
      <c r="A32" s="6" t="str">
        <f>Input!C11</f>
        <v>5.</v>
      </c>
      <c r="B32" s="6" t="str">
        <f>Input!D11</f>
        <v>Is er een warmtenet aanwezig waarop de bron aangesloten kan worden?</v>
      </c>
      <c r="C32" s="186">
        <f>Input!E11</f>
        <v>0</v>
      </c>
      <c r="D32" s="5" t="s">
        <v>27</v>
      </c>
      <c r="F32" s="30"/>
      <c r="G32" s="33" t="s">
        <v>39</v>
      </c>
      <c r="H32" s="14"/>
      <c r="I32" s="32"/>
      <c r="L32" s="30"/>
      <c r="M32" s="6"/>
      <c r="N32" s="33"/>
      <c r="O32" s="14"/>
      <c r="P32" s="32"/>
      <c r="S32" s="30"/>
      <c r="U32" s="33"/>
      <c r="V32" s="14"/>
      <c r="W32" s="32"/>
      <c r="X32" s="46" t="s">
        <v>41</v>
      </c>
      <c r="Y32" s="46" t="s">
        <v>113</v>
      </c>
      <c r="Z32" s="47"/>
    </row>
    <row r="33" spans="1:26" ht="13.5" hidden="1">
      <c r="A33" s="6" t="str">
        <f>Input!C12</f>
        <v>6.</v>
      </c>
      <c r="B33" s="6" t="str">
        <f>Input!D12</f>
        <v>Zitten er grote schommelingen in de continuiteit van het warmteaanbod?</v>
      </c>
      <c r="C33" s="186">
        <f>Input!E12</f>
        <v>0</v>
      </c>
      <c r="D33" s="5" t="s">
        <v>28</v>
      </c>
      <c r="F33" s="32"/>
      <c r="G33" s="38"/>
      <c r="H33" s="35" t="s">
        <v>35</v>
      </c>
      <c r="I33" s="36">
        <f>IF(C28="niet bekend",1,0)</f>
        <v>0</v>
      </c>
      <c r="L33" s="30"/>
      <c r="M33" s="6"/>
      <c r="N33" s="38"/>
      <c r="O33" s="35" t="s">
        <v>35</v>
      </c>
      <c r="P33" s="36">
        <f>IF(C28="niet bekend",1,0)</f>
        <v>0</v>
      </c>
      <c r="S33" s="30"/>
      <c r="U33" s="38"/>
      <c r="V33" s="35" t="s">
        <v>35</v>
      </c>
      <c r="W33" s="36">
        <f>IF(C28="niet bekend",1,0)</f>
        <v>0</v>
      </c>
      <c r="X33" s="50" t="s">
        <v>41</v>
      </c>
      <c r="Y33" s="50" t="s">
        <v>114</v>
      </c>
      <c r="Z33" s="51"/>
    </row>
    <row r="34" spans="3:26" ht="13.5" hidden="1">
      <c r="C34" s="186"/>
      <c r="F34" s="32"/>
      <c r="G34" s="44" t="s">
        <v>39</v>
      </c>
      <c r="H34" s="52"/>
      <c r="I34" s="31"/>
      <c r="L34" s="32"/>
      <c r="N34" s="33" t="s">
        <v>39</v>
      </c>
      <c r="O34" s="14"/>
      <c r="P34" s="31"/>
      <c r="S34" s="32"/>
      <c r="U34" s="33"/>
      <c r="V34" s="14"/>
      <c r="W34" s="32"/>
      <c r="X34" s="14" t="s">
        <v>39</v>
      </c>
      <c r="Y34" s="14"/>
      <c r="Z34" s="32"/>
    </row>
    <row r="35" spans="1:26" ht="13.5" hidden="1">
      <c r="A35" s="6" t="str">
        <f>Input!C17</f>
        <v>7.</v>
      </c>
      <c r="B35" s="6" t="str">
        <f>Input!D17</f>
        <v>Kan het bedrijf met restwarmteaanbod deze warmte mogelijk alsnog zelf terugwinnen/hergebruiken?</v>
      </c>
      <c r="C35" s="186">
        <f>Input!E17</f>
        <v>0</v>
      </c>
      <c r="D35" s="5" t="s">
        <v>29</v>
      </c>
      <c r="F35" s="32"/>
      <c r="G35" s="48" t="s">
        <v>39</v>
      </c>
      <c r="H35" s="53" t="s">
        <v>38</v>
      </c>
      <c r="I35" s="36">
        <f>IF(C35="niet bekend",1,0)</f>
        <v>0</v>
      </c>
      <c r="L35" s="30"/>
      <c r="M35" s="6"/>
      <c r="N35" s="38"/>
      <c r="O35" s="35" t="s">
        <v>56</v>
      </c>
      <c r="P35" s="36">
        <f>IF(C42="niet bekend",1,0)</f>
        <v>0</v>
      </c>
      <c r="S35" s="30"/>
      <c r="U35" s="38"/>
      <c r="V35" s="35" t="s">
        <v>71</v>
      </c>
      <c r="W35" s="36">
        <f>IF(C48="niet bekend",1,0)</f>
        <v>0</v>
      </c>
      <c r="X35" s="40"/>
      <c r="Y35" s="40" t="s">
        <v>70</v>
      </c>
      <c r="Z35" s="41">
        <f>IF(C32="0-5 jaar",IF(C35="nee",IF(C36="nee",1,0),0),0)</f>
        <v>0</v>
      </c>
    </row>
    <row r="36" spans="1:26" ht="13.5" hidden="1">
      <c r="A36" s="6" t="str">
        <f>Input!C18</f>
        <v>8.</v>
      </c>
      <c r="B36" s="6" t="str">
        <f>Input!D18</f>
        <v>Voor hoeveel jaar doet zich een warmtevraag voor?</v>
      </c>
      <c r="C36" s="186">
        <f>Input!E18</f>
        <v>0</v>
      </c>
      <c r="D36" s="22">
        <v>0.042361111111111106</v>
      </c>
      <c r="F36" s="32"/>
      <c r="G36" s="44" t="s">
        <v>39</v>
      </c>
      <c r="H36" s="52"/>
      <c r="I36" s="31"/>
      <c r="L36" s="30"/>
      <c r="M36" s="6"/>
      <c r="N36" s="44" t="s">
        <v>39</v>
      </c>
      <c r="O36" s="52"/>
      <c r="P36" s="31"/>
      <c r="S36" s="30"/>
      <c r="U36" s="44" t="s">
        <v>39</v>
      </c>
      <c r="V36" s="52"/>
      <c r="W36" s="31"/>
      <c r="X36" s="46" t="s">
        <v>41</v>
      </c>
      <c r="Y36" s="46" t="s">
        <v>113</v>
      </c>
      <c r="Z36" s="47"/>
    </row>
    <row r="37" spans="1:26" ht="13.5" hidden="1">
      <c r="A37" s="6" t="str">
        <f>Input!C19</f>
        <v>9.</v>
      </c>
      <c r="B37" s="6" t="str">
        <f>Input!D19</f>
        <v>Zitten er grote schommelingen in de continuiteit van de warmtevraag?</v>
      </c>
      <c r="C37" s="186">
        <f>Input!E19</f>
        <v>0</v>
      </c>
      <c r="D37" s="22">
        <v>0.044444444444444446</v>
      </c>
      <c r="F37" s="32"/>
      <c r="G37" s="37"/>
      <c r="H37" s="68" t="s">
        <v>37</v>
      </c>
      <c r="I37" s="54">
        <f>IF(C36="niet bekend",1,0)</f>
        <v>0</v>
      </c>
      <c r="L37" s="30"/>
      <c r="M37" s="6"/>
      <c r="N37" s="38"/>
      <c r="O37" s="35" t="s">
        <v>57</v>
      </c>
      <c r="P37" s="36">
        <f>IF(C41="niet bekend",1,0)</f>
        <v>0</v>
      </c>
      <c r="S37" s="30"/>
      <c r="U37" s="38"/>
      <c r="V37" s="35" t="s">
        <v>72</v>
      </c>
      <c r="W37" s="36">
        <f>IF(C47="niet bekend",1,0)</f>
        <v>0</v>
      </c>
      <c r="X37" s="50" t="s">
        <v>41</v>
      </c>
      <c r="Y37" s="50" t="s">
        <v>114</v>
      </c>
      <c r="Z37" s="51"/>
    </row>
    <row r="38" spans="1:26" ht="14.25" hidden="1" thickBot="1">
      <c r="A38" s="6" t="str">
        <f>Input!C20</f>
        <v>10.</v>
      </c>
      <c r="B38" s="6" t="str">
        <f>Input!D20</f>
        <v>Wat is de omvang van de warmtevraag?</v>
      </c>
      <c r="C38" s="186">
        <f>Input!E20</f>
        <v>0</v>
      </c>
      <c r="D38" s="22">
        <v>0.04305555555555556</v>
      </c>
      <c r="F38" s="32"/>
      <c r="G38" s="60" t="s">
        <v>83</v>
      </c>
      <c r="H38" s="61"/>
      <c r="I38" s="62">
        <f>IF(SUM(I29:I37)&gt;=1,1,0)</f>
        <v>0</v>
      </c>
      <c r="J38" s="61" t="s">
        <v>83</v>
      </c>
      <c r="K38" s="61"/>
      <c r="L38" s="188">
        <f>IF(L29=1,0.5,IF(SUM(L30:L37)&gt;=1,1,0))</f>
        <v>0</v>
      </c>
      <c r="M38" s="2"/>
      <c r="N38" s="60" t="s">
        <v>83</v>
      </c>
      <c r="O38" s="61"/>
      <c r="P38" s="62">
        <f>IF(SUM(P29:P37)&gt;=1,1,0)</f>
        <v>0</v>
      </c>
      <c r="Q38" s="61" t="s">
        <v>83</v>
      </c>
      <c r="R38" s="61"/>
      <c r="S38" s="188">
        <f>IF(S29=1,0.5,IF(SUM(S30:S37)&gt;=1,1,0))</f>
        <v>0</v>
      </c>
      <c r="T38" s="3"/>
      <c r="U38" s="60" t="s">
        <v>83</v>
      </c>
      <c r="V38" s="61"/>
      <c r="W38" s="62">
        <f>IF(SUM(W29:W37)&gt;=1,1,0)</f>
        <v>0</v>
      </c>
      <c r="X38" s="61" t="s">
        <v>83</v>
      </c>
      <c r="Y38" s="61"/>
      <c r="Z38" s="188">
        <f>IF(Z29=1,0.5,IF(SUM(Z30:Z37)&gt;=1,1,0))</f>
        <v>0</v>
      </c>
    </row>
    <row r="39" spans="1:26" ht="13.5" hidden="1">
      <c r="A39" s="6" t="str">
        <f>Input!C21</f>
        <v>11.</v>
      </c>
      <c r="B39" s="6" t="str">
        <f>Input!D21</f>
        <v>Wat is de temperatuur van de warmtevraag (leveringstemperatuur bij de gebruiker)?</v>
      </c>
      <c r="C39" s="186">
        <f>Input!E21</f>
        <v>0</v>
      </c>
      <c r="D39" s="22">
        <v>0.04305555555555556</v>
      </c>
      <c r="F39" s="83" t="s">
        <v>123</v>
      </c>
      <c r="G39" s="38"/>
      <c r="H39" s="35" t="s">
        <v>125</v>
      </c>
      <c r="I39" s="36">
        <f>IF(C32="ja, op bedrijfsterrein",1,0)</f>
        <v>0</v>
      </c>
      <c r="J39" s="26"/>
      <c r="K39" s="26" t="s">
        <v>250</v>
      </c>
      <c r="L39" s="27">
        <f>IF(C35="nee",1,0)</f>
        <v>0</v>
      </c>
      <c r="M39" s="14" t="s">
        <v>129</v>
      </c>
      <c r="N39" s="38"/>
      <c r="O39" s="35" t="s">
        <v>125</v>
      </c>
      <c r="P39" s="36">
        <f>IF(C32="ja, op bedrijfsterrein",1,0)</f>
        <v>0</v>
      </c>
      <c r="Q39" s="26"/>
      <c r="R39" s="26" t="s">
        <v>58</v>
      </c>
      <c r="S39" s="27">
        <f>IF(C41="nee",1,0)</f>
        <v>0</v>
      </c>
      <c r="T39" s="83" t="s">
        <v>131</v>
      </c>
      <c r="U39" s="53"/>
      <c r="V39" s="53" t="s">
        <v>126</v>
      </c>
      <c r="W39" s="58">
        <f>IF(C32="ja, naar woonwijk",1,0)</f>
        <v>0</v>
      </c>
      <c r="X39" s="26"/>
      <c r="Y39" s="26" t="s">
        <v>87</v>
      </c>
      <c r="Z39" s="27">
        <f>IF(C47="nee",1,0)</f>
        <v>0</v>
      </c>
    </row>
    <row r="40" spans="3:26" ht="13.5" hidden="1">
      <c r="C40" s="186"/>
      <c r="F40" s="30"/>
      <c r="G40" s="79"/>
      <c r="H40" s="127"/>
      <c r="I40" s="194"/>
      <c r="L40" s="30"/>
      <c r="M40" s="6"/>
      <c r="N40" s="79"/>
      <c r="O40" s="127"/>
      <c r="P40" s="194"/>
      <c r="S40" s="30"/>
      <c r="T40" s="30"/>
      <c r="U40" s="79"/>
      <c r="V40" s="127"/>
      <c r="W40" s="194"/>
      <c r="Z40" s="30"/>
    </row>
    <row r="41" spans="1:26" ht="13.5" hidden="1">
      <c r="A41" s="6" t="str">
        <f>Input!C23</f>
        <v>12.</v>
      </c>
      <c r="B41" s="6" t="str">
        <f>Input!D23</f>
        <v>Is er een bedrijf in de buurt van de warmtebron met een warmtebehoefte?</v>
      </c>
      <c r="C41" s="186">
        <f>Input!E23</f>
        <v>0</v>
      </c>
      <c r="D41" s="5" t="s">
        <v>30</v>
      </c>
      <c r="F41" s="32"/>
      <c r="G41" s="44"/>
      <c r="H41" s="52"/>
      <c r="I41" s="195"/>
      <c r="L41" s="32"/>
      <c r="N41" s="44"/>
      <c r="O41" s="52"/>
      <c r="P41" s="195"/>
      <c r="S41" s="32"/>
      <c r="T41" s="30"/>
      <c r="U41" s="44"/>
      <c r="V41" s="52"/>
      <c r="W41" s="195"/>
      <c r="Z41" s="30"/>
    </row>
    <row r="42" spans="1:26" ht="14.25" hidden="1" thickBot="1">
      <c r="A42" s="6" t="str">
        <f>Input!C24</f>
        <v>13.</v>
      </c>
      <c r="B42" s="6" t="str">
        <f>Input!D24</f>
        <v>Voor hoeveel jaar doet zich een warmtevraag voor?</v>
      </c>
      <c r="C42" s="186">
        <f>Input!E24</f>
        <v>0</v>
      </c>
      <c r="D42" s="22">
        <v>0.08402777777777777</v>
      </c>
      <c r="F42" s="59"/>
      <c r="G42" s="131" t="s">
        <v>83</v>
      </c>
      <c r="H42" s="131"/>
      <c r="I42" s="130">
        <f>IF(SUM(I39:I40)&gt;=1,1,0)</f>
        <v>0</v>
      </c>
      <c r="J42" s="61" t="s">
        <v>83</v>
      </c>
      <c r="K42" s="61"/>
      <c r="L42" s="188">
        <f>IF(L39=1,0.5,IF(SUM(L40:L41)&gt;=1,1,0))</f>
        <v>0</v>
      </c>
      <c r="M42" s="2"/>
      <c r="N42" s="132" t="s">
        <v>83</v>
      </c>
      <c r="O42" s="131"/>
      <c r="P42" s="130">
        <f>IF(SUM(P39:P40)&gt;=1,1,0)</f>
        <v>0</v>
      </c>
      <c r="Q42" s="61" t="s">
        <v>83</v>
      </c>
      <c r="R42" s="61"/>
      <c r="S42" s="188">
        <f>IF(S39=1,0.5,IF(SUM(S40:S41)&gt;=1,1,0))</f>
        <v>0</v>
      </c>
      <c r="T42" s="76"/>
      <c r="U42" s="61" t="s">
        <v>83</v>
      </c>
      <c r="V42" s="61"/>
      <c r="W42" s="62">
        <f>IF(SUM(W39:W40)&gt;=1,1,0)</f>
        <v>0</v>
      </c>
      <c r="X42" s="61" t="s">
        <v>83</v>
      </c>
      <c r="Y42" s="61"/>
      <c r="Z42" s="188">
        <f>IF(Z39=1,0.5,IF(SUM(Z40:Z41)&gt;=1,1,0))</f>
        <v>0</v>
      </c>
    </row>
    <row r="43" spans="1:26" ht="13.5" hidden="1">
      <c r="A43" s="6" t="str">
        <f>Input!C25</f>
        <v>14.</v>
      </c>
      <c r="B43" s="6" t="str">
        <f>Input!D25</f>
        <v>Zitten er grote schommelingen in de continuiteit van de warmtevraag?</v>
      </c>
      <c r="C43" s="186">
        <f>Input!E25</f>
        <v>0</v>
      </c>
      <c r="D43" s="22">
        <v>0.08611111111111112</v>
      </c>
      <c r="F43" s="23" t="s">
        <v>117</v>
      </c>
      <c r="G43" s="64"/>
      <c r="H43" s="65" t="s">
        <v>40</v>
      </c>
      <c r="I43" s="66">
        <f>IF(C29="0 - 2.500 GJ/jaar",IF(C38="2.501 - 25.000 GJ/jaar",1,0),0)</f>
        <v>0</v>
      </c>
      <c r="J43" s="26"/>
      <c r="K43" s="26" t="s">
        <v>250</v>
      </c>
      <c r="L43" s="27">
        <f>IF(C35="nee",1,0)</f>
        <v>0</v>
      </c>
      <c r="M43" s="23" t="s">
        <v>119</v>
      </c>
      <c r="N43" s="67"/>
      <c r="O43" s="65" t="s">
        <v>40</v>
      </c>
      <c r="P43" s="66">
        <f>IF(C29="0 - 2.500 GJ/jaar",IF(C44="2.501 - 25.000 GJ/jaar",1,0),0)</f>
        <v>0</v>
      </c>
      <c r="Q43" s="26"/>
      <c r="R43" s="26" t="s">
        <v>58</v>
      </c>
      <c r="S43" s="27">
        <f>IF(C41="nee",1,0)</f>
        <v>0</v>
      </c>
      <c r="T43" s="23" t="s">
        <v>121</v>
      </c>
      <c r="U43" s="67"/>
      <c r="V43" s="65" t="s">
        <v>40</v>
      </c>
      <c r="W43" s="66">
        <f>IF(C29="0 - 2.500 GJ/jaar",IF(C50="2.501 - 25.000 GJ/jaar",1,0),0)</f>
        <v>0</v>
      </c>
      <c r="X43" s="26"/>
      <c r="Y43" s="26" t="s">
        <v>87</v>
      </c>
      <c r="Z43" s="27">
        <f>IF(C47="nee",1,0)</f>
        <v>0</v>
      </c>
    </row>
    <row r="44" spans="1:26" ht="13.5" hidden="1">
      <c r="A44" s="6" t="str">
        <f>Input!C26</f>
        <v>15.</v>
      </c>
      <c r="B44" s="6" t="str">
        <f>Input!D26</f>
        <v>Wat is de omvang van de warmtevraag?</v>
      </c>
      <c r="C44" s="186">
        <f>Input!E26</f>
        <v>0</v>
      </c>
      <c r="D44" s="22">
        <v>0.08472222222222221</v>
      </c>
      <c r="F44" s="32"/>
      <c r="G44" s="53" t="s">
        <v>41</v>
      </c>
      <c r="H44" s="53" t="s">
        <v>42</v>
      </c>
      <c r="I44" s="56"/>
      <c r="J44" s="71"/>
      <c r="K44" s="43"/>
      <c r="L44" s="31"/>
      <c r="M44" s="32"/>
      <c r="N44" s="48" t="s">
        <v>41</v>
      </c>
      <c r="O44" s="53" t="s">
        <v>59</v>
      </c>
      <c r="P44" s="56"/>
      <c r="Q44" s="71"/>
      <c r="R44" s="43"/>
      <c r="S44" s="31"/>
      <c r="T44" s="32"/>
      <c r="U44" s="48" t="s">
        <v>41</v>
      </c>
      <c r="V44" s="53" t="s">
        <v>73</v>
      </c>
      <c r="W44" s="56"/>
      <c r="X44" s="71"/>
      <c r="Y44" s="43"/>
      <c r="Z44" s="31"/>
    </row>
    <row r="45" spans="1:26" ht="13.5" hidden="1">
      <c r="A45" s="6" t="str">
        <f>Input!C27</f>
        <v>16.</v>
      </c>
      <c r="B45" s="6" t="str">
        <f>Input!D27</f>
        <v>Wat is de temperatuur van de warmtevraag (leveringstemperatuur bij de gebruiker)?</v>
      </c>
      <c r="C45" s="186">
        <f>Input!E27</f>
        <v>0</v>
      </c>
      <c r="D45" s="22">
        <v>0.08472222222222221</v>
      </c>
      <c r="F45" s="32"/>
      <c r="G45" s="14" t="s">
        <v>39</v>
      </c>
      <c r="H45" s="14"/>
      <c r="I45" s="32"/>
      <c r="J45" s="46"/>
      <c r="K45" s="46" t="s">
        <v>40</v>
      </c>
      <c r="L45" s="47">
        <f>IF(C29="0 - 2.500 GJ/jaar",IF(C38="25.001 - 250.000 GJ/jaar",1,0),0)</f>
        <v>0</v>
      </c>
      <c r="M45" s="32"/>
      <c r="N45" s="33" t="s">
        <v>39</v>
      </c>
      <c r="O45" s="14"/>
      <c r="P45" s="32"/>
      <c r="Q45" s="46"/>
      <c r="R45" s="46" t="s">
        <v>40</v>
      </c>
      <c r="S45" s="47">
        <f>IF(C29="0 - 2.500 GJ/jaar",IF(C44="25.001 - 250.000 GJ/jaar",1,0),0)</f>
        <v>0</v>
      </c>
      <c r="T45" s="32"/>
      <c r="U45" s="33" t="s">
        <v>39</v>
      </c>
      <c r="V45" s="14"/>
      <c r="W45" s="32"/>
      <c r="X45" s="46"/>
      <c r="Y45" s="46" t="s">
        <v>40</v>
      </c>
      <c r="Z45" s="47">
        <f>IF(C29="0 - 2.500 GJ/jaar",IF(C50="25.001 - 250.000 GJ/jaar",1,0),0)</f>
        <v>0</v>
      </c>
    </row>
    <row r="46" spans="3:26" ht="13.5" hidden="1">
      <c r="C46" s="186"/>
      <c r="F46" s="32"/>
      <c r="G46" s="68"/>
      <c r="H46" s="68" t="s">
        <v>44</v>
      </c>
      <c r="I46" s="54">
        <f>IF(C29="2.501 - 25.000 GJ/jaar",IF(C38="25.001 - 250.000 GJ/jaar",1,0),0)</f>
        <v>0</v>
      </c>
      <c r="J46" s="50" t="s">
        <v>41</v>
      </c>
      <c r="K46" s="50" t="s">
        <v>43</v>
      </c>
      <c r="L46" s="69"/>
      <c r="M46" s="32"/>
      <c r="N46" s="37"/>
      <c r="O46" s="68" t="s">
        <v>44</v>
      </c>
      <c r="P46" s="54">
        <f>IF(C29="0 - 2.500 GJ/jaar",IF(C44="2.501 - 25.000 GJ/jaar",1,0),0)</f>
        <v>0</v>
      </c>
      <c r="Q46" s="50" t="s">
        <v>41</v>
      </c>
      <c r="R46" s="50" t="s">
        <v>60</v>
      </c>
      <c r="S46" s="69"/>
      <c r="T46" s="32"/>
      <c r="U46" s="37"/>
      <c r="V46" s="68" t="s">
        <v>44</v>
      </c>
      <c r="W46" s="54">
        <f>IF(C29="2.501 - 25.000 GJ/jaar",IF(C50="25.001 - 250.000 GJ/jaar",1,0),0)</f>
        <v>0</v>
      </c>
      <c r="X46" s="50" t="s">
        <v>41</v>
      </c>
      <c r="Y46" s="50" t="s">
        <v>74</v>
      </c>
      <c r="Z46" s="69"/>
    </row>
    <row r="47" spans="1:26" ht="13.5" hidden="1">
      <c r="A47" s="6" t="str">
        <f>Input!C29</f>
        <v>17.</v>
      </c>
      <c r="B47" s="6" t="str">
        <f>Input!D29</f>
        <v>Is er een warmtevraag in (nabijgelegen) gebouwde omgeving?</v>
      </c>
      <c r="C47" s="186">
        <f>Input!E29</f>
        <v>0</v>
      </c>
      <c r="D47" s="5" t="s">
        <v>31</v>
      </c>
      <c r="F47" s="32"/>
      <c r="G47" s="70" t="s">
        <v>41</v>
      </c>
      <c r="H47" s="70" t="s">
        <v>43</v>
      </c>
      <c r="I47" s="56"/>
      <c r="L47" s="32"/>
      <c r="M47" s="32"/>
      <c r="N47" s="57" t="s">
        <v>41</v>
      </c>
      <c r="O47" s="70" t="s">
        <v>60</v>
      </c>
      <c r="P47" s="56"/>
      <c r="S47" s="32"/>
      <c r="T47" s="32"/>
      <c r="U47" s="57" t="s">
        <v>41</v>
      </c>
      <c r="V47" s="70" t="s">
        <v>74</v>
      </c>
      <c r="W47" s="56"/>
      <c r="Z47" s="32"/>
    </row>
    <row r="48" spans="1:26" ht="13.5" hidden="1">
      <c r="A48" s="6" t="str">
        <f>Input!C30</f>
        <v>18.</v>
      </c>
      <c r="B48" s="6" t="str">
        <f>Input!D30</f>
        <v>Voor hoeveel jaar doet zich een warmtevraag voor?</v>
      </c>
      <c r="C48" s="186">
        <f>Input!E30</f>
        <v>0</v>
      </c>
      <c r="D48" s="22">
        <v>0.12569444444444444</v>
      </c>
      <c r="F48" s="32"/>
      <c r="G48" s="71" t="s">
        <v>39</v>
      </c>
      <c r="H48" s="71"/>
      <c r="I48" s="72"/>
      <c r="J48" s="40"/>
      <c r="K48" s="40" t="s">
        <v>40</v>
      </c>
      <c r="L48" s="41">
        <f>IF(C29="0 - 2.500 GJ/jaar",IF(C38="&gt; 250.000 GJ/jaar",1,0),0)</f>
        <v>0</v>
      </c>
      <c r="M48" s="32"/>
      <c r="N48" s="42" t="s">
        <v>39</v>
      </c>
      <c r="O48" s="71"/>
      <c r="P48" s="72"/>
      <c r="Q48" s="40"/>
      <c r="R48" s="40" t="s">
        <v>40</v>
      </c>
      <c r="S48" s="41">
        <f>IF(C29="0 - 2.500 GJ/jaar",IF(C44="&gt; 250.000 GJ/jaar",1,0),0)</f>
        <v>0</v>
      </c>
      <c r="T48" s="32"/>
      <c r="U48" s="42" t="s">
        <v>39</v>
      </c>
      <c r="V48" s="71"/>
      <c r="W48" s="72"/>
      <c r="X48" s="40"/>
      <c r="Y48" s="40" t="s">
        <v>40</v>
      </c>
      <c r="Z48" s="41">
        <f>IF(C29="0 - 2.500 GJ/jaar",IF(C50="&gt; 250.000 GJ/jaar",1,0),0)</f>
        <v>0</v>
      </c>
    </row>
    <row r="49" spans="1:26" ht="13.5" hidden="1">
      <c r="A49" s="73"/>
      <c r="B49" s="73" t="s">
        <v>104</v>
      </c>
      <c r="C49" s="187"/>
      <c r="D49" s="74"/>
      <c r="F49" s="32"/>
      <c r="G49" s="68"/>
      <c r="H49" s="68" t="s">
        <v>45</v>
      </c>
      <c r="I49" s="36">
        <f>IF(C29="niet bekend",1,0)</f>
        <v>0</v>
      </c>
      <c r="J49" s="50" t="s">
        <v>41</v>
      </c>
      <c r="K49" s="50" t="s">
        <v>88</v>
      </c>
      <c r="L49" s="69"/>
      <c r="M49" s="32"/>
      <c r="N49" s="38"/>
      <c r="O49" s="35" t="s">
        <v>45</v>
      </c>
      <c r="P49" s="36">
        <f>IF(C29="niet bekend",1,0)</f>
        <v>0</v>
      </c>
      <c r="Q49" s="50" t="s">
        <v>41</v>
      </c>
      <c r="R49" s="50" t="s">
        <v>89</v>
      </c>
      <c r="S49" s="69"/>
      <c r="T49" s="32"/>
      <c r="U49" s="38"/>
      <c r="V49" s="35" t="s">
        <v>45</v>
      </c>
      <c r="W49" s="36">
        <f>IF(C29="niet bekend",1,0)</f>
        <v>0</v>
      </c>
      <c r="X49" s="50" t="s">
        <v>41</v>
      </c>
      <c r="Y49" s="50" t="s">
        <v>90</v>
      </c>
      <c r="Z49" s="69"/>
    </row>
    <row r="50" spans="1:26" ht="13.5" hidden="1">
      <c r="A50" s="6" t="str">
        <f>Input!C31</f>
        <v>19.</v>
      </c>
      <c r="B50" s="6" t="str">
        <f>Input!D31</f>
        <v>Wat is de omvang van de warmtevraag?</v>
      </c>
      <c r="C50" s="186">
        <f>Input!E31</f>
        <v>0</v>
      </c>
      <c r="D50" s="22">
        <v>0.12638888888888888</v>
      </c>
      <c r="F50" s="32"/>
      <c r="G50" s="71" t="s">
        <v>39</v>
      </c>
      <c r="H50" s="71"/>
      <c r="I50" s="31"/>
      <c r="L50" s="32"/>
      <c r="M50" s="32"/>
      <c r="N50" s="6" t="s">
        <v>39</v>
      </c>
      <c r="P50" s="32"/>
      <c r="S50" s="32"/>
      <c r="T50" s="32"/>
      <c r="U50" s="6" t="s">
        <v>39</v>
      </c>
      <c r="W50" s="32"/>
      <c r="Z50" s="32"/>
    </row>
    <row r="51" spans="1:26" ht="13.5" hidden="1">
      <c r="A51" s="6" t="str">
        <f>Input!C32</f>
        <v>20.</v>
      </c>
      <c r="B51" s="6" t="str">
        <f>Input!D32</f>
        <v>Wat is de temperatuur van de warmtevraag (leveringstemperatuur bij de gebruiker)?</v>
      </c>
      <c r="C51" s="186">
        <f>Input!E32</f>
        <v>0</v>
      </c>
      <c r="D51" s="22">
        <v>0.12638888888888888</v>
      </c>
      <c r="F51" s="32"/>
      <c r="G51" s="38"/>
      <c r="H51" s="35" t="s">
        <v>47</v>
      </c>
      <c r="I51" s="36">
        <f>IF(C38="niet bekend",1,0)</f>
        <v>0</v>
      </c>
      <c r="J51" s="40"/>
      <c r="K51" s="40" t="s">
        <v>44</v>
      </c>
      <c r="L51" s="41">
        <f>IF(C29="2,501 - 25.000 GJ/jaar",IF(C38="&gt; 250.000 GJ/jaar",1,0),0)</f>
        <v>0</v>
      </c>
      <c r="M51" s="32"/>
      <c r="N51" s="38"/>
      <c r="O51" s="35" t="s">
        <v>61</v>
      </c>
      <c r="P51" s="36">
        <f>IF(C44="niet bekend",1,0)</f>
        <v>0</v>
      </c>
      <c r="Q51" s="40"/>
      <c r="R51" s="40" t="s">
        <v>44</v>
      </c>
      <c r="S51" s="41">
        <f>IF(C29="2,501 - 25.000 GJ/jaar",IF(C44="&gt; 250.000 GJ/jaar",1,0),0)</f>
        <v>0</v>
      </c>
      <c r="T51" s="32"/>
      <c r="U51" s="38"/>
      <c r="V51" s="35" t="s">
        <v>75</v>
      </c>
      <c r="W51" s="36">
        <f>IF(C50="niet bekend",1,0)</f>
        <v>0</v>
      </c>
      <c r="X51" s="40"/>
      <c r="Y51" s="40" t="s">
        <v>44</v>
      </c>
      <c r="Z51" s="41">
        <f>IF(C29="2,501 - 25.000 GJ/jaar",IF(C50="&gt; 250.000 GJ/jaar",1,0),0)</f>
        <v>0</v>
      </c>
    </row>
    <row r="52" spans="3:26" ht="13.5" hidden="1">
      <c r="C52" s="186"/>
      <c r="F52" s="32"/>
      <c r="I52" s="32"/>
      <c r="J52" s="50" t="s">
        <v>41</v>
      </c>
      <c r="K52" s="50" t="s">
        <v>88</v>
      </c>
      <c r="L52" s="69"/>
      <c r="M52" s="32"/>
      <c r="P52" s="32"/>
      <c r="Q52" s="50" t="s">
        <v>41</v>
      </c>
      <c r="R52" s="50" t="s">
        <v>89</v>
      </c>
      <c r="S52" s="69"/>
      <c r="T52" s="32"/>
      <c r="W52" s="32"/>
      <c r="X52" s="50" t="s">
        <v>41</v>
      </c>
      <c r="Y52" s="50" t="s">
        <v>90</v>
      </c>
      <c r="Z52" s="69"/>
    </row>
    <row r="53" spans="1:26" ht="14.25" hidden="1" thickBot="1">
      <c r="A53" s="6" t="str">
        <f>Input!C37</f>
        <v>21.</v>
      </c>
      <c r="B53" s="6" t="str">
        <f>Input!D37</f>
        <v>Heeft de eigenaar van de warmtebron zijn bedrijfspand en perceel in eigendom/is er sprake van erfpacht?</v>
      </c>
      <c r="C53" s="186">
        <f>Input!E37</f>
        <v>0</v>
      </c>
      <c r="D53" s="22">
        <v>0.04583333333333334</v>
      </c>
      <c r="F53" s="32"/>
      <c r="G53" s="61" t="s">
        <v>83</v>
      </c>
      <c r="H53" s="61"/>
      <c r="I53" s="62">
        <f>IF(SUM(I43:I52)&gt;=1,1,0)</f>
        <v>0</v>
      </c>
      <c r="J53" s="61" t="s">
        <v>83</v>
      </c>
      <c r="K53" s="61"/>
      <c r="L53" s="188">
        <f>IF(L43=1,0.5,IF(SUM(L45:L52)&gt;=1,1,0))</f>
        <v>0</v>
      </c>
      <c r="M53" s="32"/>
      <c r="N53" s="60" t="s">
        <v>83</v>
      </c>
      <c r="O53" s="61"/>
      <c r="P53" s="62">
        <f>IF(SUM(P43:P52)&gt;=1,1,0)</f>
        <v>0</v>
      </c>
      <c r="Q53" s="61" t="s">
        <v>83</v>
      </c>
      <c r="R53" s="61"/>
      <c r="S53" s="188">
        <f>IF(S43=1,0.5,IF(SUM(S45:S52)&gt;=1,1,0))</f>
        <v>0</v>
      </c>
      <c r="T53" s="32"/>
      <c r="U53" s="60" t="s">
        <v>83</v>
      </c>
      <c r="V53" s="61"/>
      <c r="W53" s="62">
        <f>IF(SUM(W43:W52)&gt;=1,1,0)</f>
        <v>0</v>
      </c>
      <c r="X53" s="131" t="s">
        <v>83</v>
      </c>
      <c r="Y53" s="131"/>
      <c r="Z53" s="188">
        <f>IF(Z43=1,0.5,IF(SUM(Z45:Z52)&gt;=1,1,0))</f>
        <v>0</v>
      </c>
    </row>
    <row r="54" spans="3:26" ht="13.5" hidden="1">
      <c r="C54" s="186"/>
      <c r="F54" s="83" t="s">
        <v>118</v>
      </c>
      <c r="G54" s="68"/>
      <c r="H54" s="68" t="s">
        <v>140</v>
      </c>
      <c r="I54" s="66">
        <f>IF(C30="60-90 C",IF(C39="&gt; 90 C",1,0),0)</f>
        <v>0</v>
      </c>
      <c r="J54" s="26"/>
      <c r="K54" s="26" t="s">
        <v>250</v>
      </c>
      <c r="L54" s="27">
        <f>IF(C35="nee",1,0)</f>
        <v>0</v>
      </c>
      <c r="M54" s="83" t="s">
        <v>120</v>
      </c>
      <c r="N54" s="65"/>
      <c r="O54" s="65" t="s">
        <v>142</v>
      </c>
      <c r="P54" s="66">
        <f>IF(C30="&gt; 90 C",IF(C45="&lt; 60 C",1,0),0)</f>
        <v>0</v>
      </c>
      <c r="Q54" s="26"/>
      <c r="R54" s="26" t="s">
        <v>58</v>
      </c>
      <c r="S54" s="27">
        <f>IF(C41="nee",1,0)</f>
        <v>0</v>
      </c>
      <c r="T54" s="83" t="s">
        <v>122</v>
      </c>
      <c r="U54" s="65"/>
      <c r="V54" s="65" t="s">
        <v>142</v>
      </c>
      <c r="W54" s="66">
        <f>IF(C30="&gt; 90 C",IF(C51="&lt; 60 C",1,0),0)</f>
        <v>0</v>
      </c>
      <c r="X54" s="26"/>
      <c r="Y54" s="26" t="s">
        <v>87</v>
      </c>
      <c r="Z54" s="27">
        <f>IF(C47="nee",1,0)</f>
        <v>0</v>
      </c>
    </row>
    <row r="55" spans="1:26" ht="13.5" hidden="1">
      <c r="A55" s="6" t="str">
        <f>Input!C39</f>
        <v>22.</v>
      </c>
      <c r="B55" s="6" t="str">
        <f>Input!D39</f>
        <v>Is er sprake van derden partijen, bijv. omdat het bedrijfspand en perceel gehuurd zijn?</v>
      </c>
      <c r="C55" s="186">
        <f>Input!E39</f>
        <v>0</v>
      </c>
      <c r="D55" s="22">
        <v>0.0875</v>
      </c>
      <c r="F55" s="32"/>
      <c r="G55" s="53" t="s">
        <v>41</v>
      </c>
      <c r="H55" s="53" t="s">
        <v>141</v>
      </c>
      <c r="I55" s="56"/>
      <c r="L55" s="31"/>
      <c r="M55" s="32"/>
      <c r="N55" s="53" t="s">
        <v>41</v>
      </c>
      <c r="O55" s="53" t="s">
        <v>151</v>
      </c>
      <c r="P55" s="56"/>
      <c r="S55" s="81"/>
      <c r="T55" s="32"/>
      <c r="U55" s="70" t="s">
        <v>41</v>
      </c>
      <c r="V55" s="70" t="s">
        <v>152</v>
      </c>
      <c r="W55" s="58"/>
      <c r="Z55" s="81"/>
    </row>
    <row r="56" spans="1:26" ht="13.5" hidden="1">
      <c r="A56" s="6" t="str">
        <f>Input!C40</f>
        <v>23.</v>
      </c>
      <c r="B56" s="6" t="str">
        <f>Input!D40</f>
        <v>Wat is de te overbruggen afstand (tot aan ander bedrijf)?</v>
      </c>
      <c r="C56" s="186">
        <f>Input!E40</f>
        <v>0</v>
      </c>
      <c r="D56" s="22">
        <v>0.08819444444444445</v>
      </c>
      <c r="F56" s="32"/>
      <c r="I56" s="32"/>
      <c r="J56" s="40"/>
      <c r="K56" s="40" t="s">
        <v>144</v>
      </c>
      <c r="L56" s="189">
        <f>IF(C30="&lt; 60 C",IF(C39="&gt; 90 C",1,0),0)</f>
        <v>0</v>
      </c>
      <c r="M56" s="32"/>
      <c r="N56" s="14"/>
      <c r="O56" s="14"/>
      <c r="P56" s="32"/>
      <c r="Q56" s="55"/>
      <c r="R56" s="40" t="s">
        <v>144</v>
      </c>
      <c r="S56" s="41">
        <f>IF(C30="&lt; 60 C",IF(C45="&gt; 90 C",1,0),0)</f>
        <v>0</v>
      </c>
      <c r="T56" s="32"/>
      <c r="U56" s="42"/>
      <c r="V56" s="71"/>
      <c r="W56" s="31"/>
      <c r="X56" s="55"/>
      <c r="Y56" s="40" t="s">
        <v>144</v>
      </c>
      <c r="Z56" s="41">
        <f>IF(C30="&lt; 60 C",IF(C51="&gt; 90 C",1,0),0)</f>
        <v>0</v>
      </c>
    </row>
    <row r="57" spans="1:26" ht="13.5" hidden="1">
      <c r="A57" s="6" t="str">
        <f>Input!C41</f>
        <v>24.</v>
      </c>
      <c r="B57" s="6" t="str">
        <f>Input!D41</f>
        <v>Moeten er boven- of ondergrondse obstakels overbrugd/doorkruist worden ('kunstwerken')? </v>
      </c>
      <c r="C57" s="186">
        <f>Input!E41</f>
        <v>0</v>
      </c>
      <c r="D57" s="22">
        <v>0.08819444444444445</v>
      </c>
      <c r="F57" s="32"/>
      <c r="G57" s="68"/>
      <c r="H57" s="68" t="s">
        <v>142</v>
      </c>
      <c r="I57" s="54">
        <f>IF(C30="&gt; 90 C",IF(C39="&lt; 60 C",1,0),0)</f>
        <v>0</v>
      </c>
      <c r="J57" s="50" t="s">
        <v>41</v>
      </c>
      <c r="K57" s="50" t="s">
        <v>141</v>
      </c>
      <c r="L57" s="128"/>
      <c r="M57" s="32"/>
      <c r="N57" s="68"/>
      <c r="O57" s="68" t="s">
        <v>140</v>
      </c>
      <c r="P57" s="54">
        <f>IF(C30="60-90 C",IF(C45="&gt; 90 C",1,0),0)</f>
        <v>0</v>
      </c>
      <c r="Q57" s="49" t="s">
        <v>41</v>
      </c>
      <c r="R57" s="50" t="s">
        <v>146</v>
      </c>
      <c r="S57" s="69"/>
      <c r="T57" s="32"/>
      <c r="U57" s="37"/>
      <c r="V57" s="68" t="s">
        <v>140</v>
      </c>
      <c r="W57" s="54">
        <f>IF(C30="60-90 C",IF(C51="&gt; 90 C",1,0),0)</f>
        <v>0</v>
      </c>
      <c r="X57" s="49" t="s">
        <v>41</v>
      </c>
      <c r="Y57" s="50" t="s">
        <v>147</v>
      </c>
      <c r="Z57" s="69"/>
    </row>
    <row r="58" spans="1:26" ht="13.5" hidden="1">
      <c r="A58" s="6" t="str">
        <f>Input!C42</f>
        <v>25.</v>
      </c>
      <c r="B58" s="6" t="str">
        <f>Input!D42</f>
        <v>Kunnen de warmtebroneigenaar en het naburige bedrijf zelfstandig beslissen over leidingaanleg (onafhankelijk van derden)?</v>
      </c>
      <c r="C58" s="186">
        <f>Input!E42</f>
        <v>0</v>
      </c>
      <c r="D58" s="22">
        <v>0.0875</v>
      </c>
      <c r="F58" s="32"/>
      <c r="G58" s="53" t="s">
        <v>41</v>
      </c>
      <c r="H58" s="53" t="s">
        <v>143</v>
      </c>
      <c r="I58" s="56"/>
      <c r="J58" s="14"/>
      <c r="K58" s="14"/>
      <c r="L58" s="75"/>
      <c r="M58" s="32"/>
      <c r="N58" s="53" t="s">
        <v>41</v>
      </c>
      <c r="O58" s="53" t="s">
        <v>146</v>
      </c>
      <c r="P58" s="56"/>
      <c r="Q58" s="14"/>
      <c r="R58" s="14"/>
      <c r="S58" s="75"/>
      <c r="T58" s="32"/>
      <c r="U58" s="48" t="s">
        <v>39</v>
      </c>
      <c r="V58" s="53" t="s">
        <v>147</v>
      </c>
      <c r="W58" s="56"/>
      <c r="X58" s="33"/>
      <c r="Y58" s="14"/>
      <c r="Z58" s="32"/>
    </row>
    <row r="59" spans="3:26" ht="13.5" hidden="1">
      <c r="C59" s="186"/>
      <c r="F59" s="32"/>
      <c r="G59" s="6" t="s">
        <v>39</v>
      </c>
      <c r="I59" s="32"/>
      <c r="J59" s="14"/>
      <c r="K59" s="14"/>
      <c r="L59" s="75"/>
      <c r="M59" s="32"/>
      <c r="N59" s="14" t="s">
        <v>39</v>
      </c>
      <c r="O59" s="14"/>
      <c r="P59" s="32"/>
      <c r="Q59" s="14"/>
      <c r="R59" s="14"/>
      <c r="S59" s="75"/>
      <c r="T59" s="32"/>
      <c r="U59" s="14" t="s">
        <v>39</v>
      </c>
      <c r="V59" s="14"/>
      <c r="W59" s="32"/>
      <c r="X59" s="33"/>
      <c r="Y59" s="14"/>
      <c r="Z59" s="32"/>
    </row>
    <row r="60" spans="1:26" ht="13.5" hidden="1">
      <c r="A60" s="6" t="str">
        <f>Input!C44</f>
        <v>26.</v>
      </c>
      <c r="B60" s="6" t="str">
        <f>Input!D44</f>
        <v>Wat is de te overbruggen afstand voor het transportnet (tot de rand van de bebouwing)?</v>
      </c>
      <c r="C60" s="186">
        <f>Input!E44</f>
        <v>0</v>
      </c>
      <c r="D60" s="22">
        <v>0.12986111111111112</v>
      </c>
      <c r="F60" s="32"/>
      <c r="G60" s="68"/>
      <c r="H60" s="68" t="s">
        <v>144</v>
      </c>
      <c r="I60" s="54">
        <f>IF(C30="&lt; 60 C",IF(C39="60-90 C",1,0),0)</f>
        <v>0</v>
      </c>
      <c r="J60" s="14"/>
      <c r="K60" s="14"/>
      <c r="L60" s="75"/>
      <c r="M60" s="32"/>
      <c r="N60" s="68"/>
      <c r="O60" s="68" t="s">
        <v>144</v>
      </c>
      <c r="P60" s="54">
        <f>IF(C30="&lt; 60 C",IF(C45="60-90 C",1,0),0)</f>
        <v>0</v>
      </c>
      <c r="Q60" s="14"/>
      <c r="R60" s="14"/>
      <c r="S60" s="75"/>
      <c r="T60" s="32"/>
      <c r="U60" s="37"/>
      <c r="V60" s="68" t="s">
        <v>144</v>
      </c>
      <c r="W60" s="54">
        <f>IF(C30="&lt; 60 C",IF(C51="60-90 C",1,0),0)</f>
        <v>0</v>
      </c>
      <c r="X60" s="33"/>
      <c r="Y60" s="14"/>
      <c r="Z60" s="32"/>
    </row>
    <row r="61" spans="1:26" ht="13.5" hidden="1">
      <c r="A61" s="6" t="str">
        <f>Input!C45</f>
        <v>27.</v>
      </c>
      <c r="B61" s="6" t="str">
        <f>Input!D45</f>
        <v>Moeten er boven- of ondergrondse obstakels overbrugd/doorkruist worden ('kunstwerken')? </v>
      </c>
      <c r="C61" s="186">
        <f>Input!E45</f>
        <v>0</v>
      </c>
      <c r="D61" s="22">
        <v>0.12986111111111112</v>
      </c>
      <c r="F61" s="32"/>
      <c r="G61" s="53" t="s">
        <v>41</v>
      </c>
      <c r="H61" s="53" t="s">
        <v>145</v>
      </c>
      <c r="I61" s="56"/>
      <c r="J61" s="14"/>
      <c r="K61" s="14"/>
      <c r="L61" s="75"/>
      <c r="M61" s="32"/>
      <c r="N61" s="53" t="s">
        <v>41</v>
      </c>
      <c r="O61" s="53" t="s">
        <v>148</v>
      </c>
      <c r="P61" s="56"/>
      <c r="Q61" s="14"/>
      <c r="R61" s="14"/>
      <c r="S61" s="75"/>
      <c r="T61" s="32"/>
      <c r="U61" s="48" t="s">
        <v>41</v>
      </c>
      <c r="V61" s="53" t="s">
        <v>149</v>
      </c>
      <c r="W61" s="56"/>
      <c r="X61" s="33"/>
      <c r="Y61" s="14"/>
      <c r="Z61" s="32"/>
    </row>
    <row r="62" spans="1:26" ht="13.5" hidden="1">
      <c r="A62" s="6" t="str">
        <f>Input!C46</f>
        <v>28.</v>
      </c>
      <c r="B62" s="6" t="str">
        <f>Input!D46</f>
        <v>Kunnen de betrokken partijen (waaronder de gemeente) vrij beschikken over de grond/het trace?</v>
      </c>
      <c r="C62" s="186">
        <f>Input!E46</f>
        <v>0</v>
      </c>
      <c r="D62" s="22">
        <v>0.12916666666666668</v>
      </c>
      <c r="F62" s="32"/>
      <c r="G62" s="6" t="s">
        <v>39</v>
      </c>
      <c r="I62" s="32"/>
      <c r="J62" s="14"/>
      <c r="K62" s="14"/>
      <c r="L62" s="75"/>
      <c r="M62" s="32"/>
      <c r="N62" s="71" t="s">
        <v>39</v>
      </c>
      <c r="O62" s="71"/>
      <c r="P62" s="31"/>
      <c r="Q62" s="14"/>
      <c r="R62" s="14"/>
      <c r="S62" s="75"/>
      <c r="T62" s="32"/>
      <c r="U62" s="14"/>
      <c r="V62" s="14"/>
      <c r="W62" s="32"/>
      <c r="X62" s="33"/>
      <c r="Y62" s="14"/>
      <c r="Z62" s="32"/>
    </row>
    <row r="63" spans="1:26" ht="13.5" hidden="1">
      <c r="A63" s="6" t="str">
        <f>Input!C48</f>
        <v>30.</v>
      </c>
      <c r="B63" s="6" t="str">
        <f>Input!D48</f>
        <v>Hoeveel bedraagt het aantal woningen / ha? (bij woningen)</v>
      </c>
      <c r="C63" s="186">
        <f>Input!E48</f>
        <v>0</v>
      </c>
      <c r="D63" s="22">
        <v>0.13055555555555556</v>
      </c>
      <c r="F63" s="32"/>
      <c r="G63" s="38"/>
      <c r="H63" s="35" t="s">
        <v>46</v>
      </c>
      <c r="I63" s="36">
        <f>IF(C30="niet bekend",1,0)</f>
        <v>0</v>
      </c>
      <c r="J63" s="14"/>
      <c r="K63" s="14"/>
      <c r="L63" s="75"/>
      <c r="M63" s="32"/>
      <c r="N63" s="53"/>
      <c r="O63" s="53" t="s">
        <v>46</v>
      </c>
      <c r="P63" s="36">
        <f>IF(C30="niet bekend",1,0)</f>
        <v>0</v>
      </c>
      <c r="Q63" s="14"/>
      <c r="R63" s="14"/>
      <c r="S63" s="75"/>
      <c r="T63" s="32"/>
      <c r="U63" s="38"/>
      <c r="V63" s="39" t="s">
        <v>46</v>
      </c>
      <c r="W63" s="36">
        <f>IF(C30="niet bekend",1,0)</f>
        <v>0</v>
      </c>
      <c r="X63" s="33"/>
      <c r="Y63" s="14"/>
      <c r="Z63" s="32"/>
    </row>
    <row r="64" spans="1:26" ht="13.5" hidden="1">
      <c r="A64" s="6" t="str">
        <f>Input!C49</f>
        <v>31.</v>
      </c>
      <c r="B64" s="6" t="str">
        <f>Input!D49</f>
        <v>Hoeveel bedraagt het aantal woningequivalenten / ha (bij utiliteit en bij woningen en utiliteit)?</v>
      </c>
      <c r="C64" s="186">
        <f>Input!E49</f>
        <v>0</v>
      </c>
      <c r="D64" s="22">
        <v>0.13055555555555556</v>
      </c>
      <c r="F64" s="32"/>
      <c r="G64" s="127" t="s">
        <v>39</v>
      </c>
      <c r="I64" s="32"/>
      <c r="J64" s="14"/>
      <c r="K64" s="14"/>
      <c r="L64" s="75"/>
      <c r="M64" s="32"/>
      <c r="N64" s="71" t="s">
        <v>39</v>
      </c>
      <c r="O64" s="71"/>
      <c r="P64" s="31"/>
      <c r="Q64" s="14"/>
      <c r="R64" s="14"/>
      <c r="S64" s="75"/>
      <c r="T64" s="32"/>
      <c r="U64" s="127" t="s">
        <v>39</v>
      </c>
      <c r="V64" s="127"/>
      <c r="W64" s="32"/>
      <c r="X64" s="33"/>
      <c r="Y64" s="14"/>
      <c r="Z64" s="32"/>
    </row>
    <row r="65" spans="6:26" ht="13.5" hidden="1">
      <c r="F65" s="32"/>
      <c r="G65" s="38"/>
      <c r="H65" s="35" t="s">
        <v>48</v>
      </c>
      <c r="I65" s="36">
        <f>IF(C39="niet bekend",1,0)</f>
        <v>0</v>
      </c>
      <c r="L65" s="75"/>
      <c r="M65" s="32"/>
      <c r="N65" s="70"/>
      <c r="O65" s="70" t="s">
        <v>62</v>
      </c>
      <c r="P65" s="36">
        <f>IF(C45="niet bekend",1,0)</f>
        <v>0</v>
      </c>
      <c r="Q65" s="14"/>
      <c r="R65" s="14"/>
      <c r="S65" s="75"/>
      <c r="T65" s="30"/>
      <c r="U65" s="38"/>
      <c r="V65" s="35" t="s">
        <v>76</v>
      </c>
      <c r="W65" s="36">
        <f>IF(C51="niet bekend",1,0)</f>
        <v>0</v>
      </c>
      <c r="X65" s="44"/>
      <c r="Y65" s="52"/>
      <c r="Z65" s="72"/>
    </row>
    <row r="66" spans="6:26" ht="14.25" hidden="1" thickBot="1">
      <c r="F66" s="59"/>
      <c r="G66" s="61" t="s">
        <v>83</v>
      </c>
      <c r="H66" s="61"/>
      <c r="I66" s="62">
        <f>IF(SUM(I54:I65)&gt;=1,1,0)</f>
        <v>0</v>
      </c>
      <c r="J66" s="61" t="s">
        <v>83</v>
      </c>
      <c r="K66" s="61"/>
      <c r="L66" s="188">
        <f>IF(L54=1,0.5,IF(SUM(L56:L65)&gt;=1,1,0))</f>
        <v>0</v>
      </c>
      <c r="M66" s="59"/>
      <c r="N66" s="61" t="s">
        <v>83</v>
      </c>
      <c r="O66" s="61"/>
      <c r="P66" s="62">
        <f>IF(SUM(P54:P65)&gt;=1,1,0)</f>
        <v>0</v>
      </c>
      <c r="Q66" s="61" t="s">
        <v>83</v>
      </c>
      <c r="R66" s="61"/>
      <c r="S66" s="188">
        <f>IF(S54=1,0.5,IF(SUM(S56:S65)&gt;=1,1,0))</f>
        <v>0</v>
      </c>
      <c r="T66" s="76"/>
      <c r="U66" s="131" t="s">
        <v>83</v>
      </c>
      <c r="V66" s="131"/>
      <c r="W66" s="130">
        <f>IF(SUM(W54:W65)&gt;=1,1,0)</f>
        <v>0</v>
      </c>
      <c r="X66" s="131" t="s">
        <v>83</v>
      </c>
      <c r="Y66" s="131"/>
      <c r="Z66" s="188">
        <f>IF(Z54=1,0.5,IF(SUM(Z56:Z65)&gt;=1,1,0))</f>
        <v>0</v>
      </c>
    </row>
    <row r="67" spans="6:26" ht="13.5" hidden="1">
      <c r="F67" s="23">
        <v>0.04375</v>
      </c>
      <c r="G67" s="29"/>
      <c r="H67" s="24" t="s">
        <v>97</v>
      </c>
      <c r="I67" s="36">
        <f>IF(C31="ja",1,0)</f>
        <v>0</v>
      </c>
      <c r="J67" s="26"/>
      <c r="K67" s="26" t="s">
        <v>250</v>
      </c>
      <c r="L67" s="77">
        <f>IF(C35="nee",1,0)</f>
        <v>0</v>
      </c>
      <c r="M67" s="129">
        <v>0.08541666666666665</v>
      </c>
      <c r="N67" s="29"/>
      <c r="O67" s="24" t="s">
        <v>97</v>
      </c>
      <c r="P67" s="36">
        <f>IF(C31="ja",1,0)</f>
        <v>0</v>
      </c>
      <c r="Q67" s="26"/>
      <c r="R67" s="26" t="s">
        <v>58</v>
      </c>
      <c r="S67" s="77">
        <f>IF(C41="nee",1,0)</f>
        <v>0</v>
      </c>
      <c r="T67" s="129">
        <v>0.12708333333333333</v>
      </c>
      <c r="U67" s="29"/>
      <c r="V67" s="24" t="s">
        <v>97</v>
      </c>
      <c r="W67" s="36">
        <f>IF(C31="ja",1,0)</f>
        <v>0</v>
      </c>
      <c r="X67" s="26"/>
      <c r="Y67" s="26" t="s">
        <v>87</v>
      </c>
      <c r="Z67" s="27">
        <f>IF(C47="nee",1,0)</f>
        <v>0</v>
      </c>
    </row>
    <row r="68" spans="6:26" ht="13.5" hidden="1">
      <c r="F68" s="32"/>
      <c r="I68" s="72"/>
      <c r="L68" s="31"/>
      <c r="M68" s="32"/>
      <c r="P68" s="72"/>
      <c r="S68" s="31"/>
      <c r="T68" s="30"/>
      <c r="W68" s="72"/>
      <c r="Z68" s="31"/>
    </row>
    <row r="69" spans="6:26" ht="14.25" hidden="1" thickBot="1">
      <c r="F69" s="59"/>
      <c r="G69" s="61" t="s">
        <v>83</v>
      </c>
      <c r="H69" s="63"/>
      <c r="I69" s="62">
        <f>IF(SUM(I67:I68)&gt;=1,1,0)</f>
        <v>0</v>
      </c>
      <c r="J69" s="60" t="s">
        <v>83</v>
      </c>
      <c r="K69" s="63"/>
      <c r="L69" s="188">
        <f>IF(L67=1,0.5,IF(SUM(L68)&gt;=1,1,0))</f>
        <v>0</v>
      </c>
      <c r="M69" s="59"/>
      <c r="N69" s="61" t="s">
        <v>83</v>
      </c>
      <c r="O69" s="63"/>
      <c r="P69" s="62">
        <f>IF(SUM(P67)&gt;=1,1,0)</f>
        <v>0</v>
      </c>
      <c r="Q69" s="60" t="s">
        <v>83</v>
      </c>
      <c r="R69" s="63"/>
      <c r="S69" s="188">
        <f>IF(S67=1,0.5,IF(SUM(S68)&gt;=1,1,0))</f>
        <v>0</v>
      </c>
      <c r="T69" s="76"/>
      <c r="U69" s="61" t="s">
        <v>83</v>
      </c>
      <c r="V69" s="63"/>
      <c r="W69" s="62">
        <f>IF(SUM(W67)&gt;=1,1,0)</f>
        <v>0</v>
      </c>
      <c r="X69" s="60" t="s">
        <v>83</v>
      </c>
      <c r="Y69" s="63"/>
      <c r="Z69" s="188">
        <f>IF(Z67=1,0.5,IF(SUM(Z68)&gt;=1,1,0))</f>
        <v>0</v>
      </c>
    </row>
    <row r="70" spans="6:26" ht="13.5" hidden="1">
      <c r="F70" s="23">
        <v>0.044444444444444446</v>
      </c>
      <c r="G70" s="65"/>
      <c r="H70" s="65" t="s">
        <v>49</v>
      </c>
      <c r="I70" s="25">
        <f>IF(C33="ja",1,0)</f>
        <v>0</v>
      </c>
      <c r="J70" s="26"/>
      <c r="K70" s="26" t="s">
        <v>250</v>
      </c>
      <c r="L70" s="27">
        <f>IF(C35="nee",1,0)</f>
        <v>0</v>
      </c>
      <c r="M70" s="23">
        <v>0.08611111111111112</v>
      </c>
      <c r="N70" s="29"/>
      <c r="O70" s="24" t="s">
        <v>49</v>
      </c>
      <c r="P70" s="25">
        <f>IF(C33="ja",1,0)</f>
        <v>0</v>
      </c>
      <c r="Q70" s="26"/>
      <c r="R70" s="26" t="s">
        <v>58</v>
      </c>
      <c r="S70" s="27">
        <f>IF(C41="nee",1,0)</f>
        <v>0</v>
      </c>
      <c r="T70" s="23">
        <v>0.1277777777777778</v>
      </c>
      <c r="U70" s="29"/>
      <c r="V70" s="24" t="s">
        <v>49</v>
      </c>
      <c r="W70" s="25">
        <f>IF(C33="ja",1,0)</f>
        <v>0</v>
      </c>
      <c r="X70" s="26"/>
      <c r="Y70" s="26" t="s">
        <v>87</v>
      </c>
      <c r="Z70" s="27">
        <f>IF(C47="nee",1,0)</f>
        <v>0</v>
      </c>
    </row>
    <row r="71" spans="6:26" ht="13.5" hidden="1">
      <c r="F71" s="32"/>
      <c r="G71" s="42" t="s">
        <v>39</v>
      </c>
      <c r="H71" s="71"/>
      <c r="I71" s="31"/>
      <c r="L71" s="32"/>
      <c r="M71" s="32"/>
      <c r="N71" s="6" t="s">
        <v>39</v>
      </c>
      <c r="P71" s="31"/>
      <c r="S71" s="32"/>
      <c r="T71" s="32"/>
      <c r="U71" s="6" t="s">
        <v>39</v>
      </c>
      <c r="W71" s="31"/>
      <c r="Z71" s="32"/>
    </row>
    <row r="72" spans="6:26" ht="13.5" hidden="1">
      <c r="F72" s="32"/>
      <c r="G72" s="70"/>
      <c r="H72" s="70" t="s">
        <v>50</v>
      </c>
      <c r="I72" s="36">
        <f>IF(C37="ja",1,0)</f>
        <v>0</v>
      </c>
      <c r="J72" s="14"/>
      <c r="K72" s="14"/>
      <c r="L72" s="32"/>
      <c r="M72" s="32"/>
      <c r="N72" s="38"/>
      <c r="O72" s="35" t="s">
        <v>63</v>
      </c>
      <c r="P72" s="36">
        <f>IF(C43="ja",1,0)</f>
        <v>0</v>
      </c>
      <c r="Q72" s="14"/>
      <c r="R72" s="14"/>
      <c r="S72" s="32"/>
      <c r="T72" s="32"/>
      <c r="U72" s="38"/>
      <c r="V72" s="35" t="s">
        <v>51</v>
      </c>
      <c r="W72" s="36">
        <f>IF(C33="niet bekend",1,0)</f>
        <v>0</v>
      </c>
      <c r="X72" s="14"/>
      <c r="Y72" s="14"/>
      <c r="Z72" s="32"/>
    </row>
    <row r="73" spans="6:26" ht="13.5" hidden="1">
      <c r="F73" s="32"/>
      <c r="G73" s="42" t="s">
        <v>39</v>
      </c>
      <c r="H73" s="71"/>
      <c r="I73" s="31"/>
      <c r="L73" s="32"/>
      <c r="M73" s="32"/>
      <c r="N73" s="6" t="s">
        <v>39</v>
      </c>
      <c r="P73" s="31"/>
      <c r="S73" s="32"/>
      <c r="T73" s="32"/>
      <c r="U73" s="79"/>
      <c r="V73" s="80"/>
      <c r="W73" s="81"/>
      <c r="Z73" s="32"/>
    </row>
    <row r="74" spans="6:26" ht="13.5" hidden="1">
      <c r="F74" s="32"/>
      <c r="G74" s="70"/>
      <c r="H74" s="70" t="s">
        <v>51</v>
      </c>
      <c r="I74" s="36">
        <f>IF(C33="niet bekend",1,0)</f>
        <v>0</v>
      </c>
      <c r="L74" s="32"/>
      <c r="M74" s="32"/>
      <c r="N74" s="38"/>
      <c r="O74" s="35" t="s">
        <v>51</v>
      </c>
      <c r="P74" s="36">
        <f>IF(C33="niet bekend",1,0)</f>
        <v>0</v>
      </c>
      <c r="S74" s="32"/>
      <c r="T74" s="32"/>
      <c r="U74" s="33"/>
      <c r="V74" s="34"/>
      <c r="W74" s="32"/>
      <c r="Z74" s="32"/>
    </row>
    <row r="75" spans="6:26" ht="13.5" hidden="1">
      <c r="F75" s="32"/>
      <c r="G75" s="42" t="s">
        <v>39</v>
      </c>
      <c r="H75" s="71"/>
      <c r="I75" s="31"/>
      <c r="J75" s="14"/>
      <c r="K75" s="14"/>
      <c r="L75" s="32"/>
      <c r="M75" s="32"/>
      <c r="N75" s="14" t="s">
        <v>39</v>
      </c>
      <c r="O75" s="14"/>
      <c r="P75" s="31"/>
      <c r="Q75" s="14"/>
      <c r="R75" s="14"/>
      <c r="S75" s="32"/>
      <c r="T75" s="32"/>
      <c r="U75" s="33"/>
      <c r="V75" s="34"/>
      <c r="W75" s="32"/>
      <c r="X75" s="14"/>
      <c r="Y75" s="14"/>
      <c r="Z75" s="32"/>
    </row>
    <row r="76" spans="6:26" ht="13.5" hidden="1">
      <c r="F76" s="32"/>
      <c r="G76" s="70"/>
      <c r="H76" s="70" t="s">
        <v>52</v>
      </c>
      <c r="I76" s="36">
        <f>IF(C37="niet bekend",1,0)</f>
        <v>0</v>
      </c>
      <c r="J76" s="14"/>
      <c r="K76" s="14"/>
      <c r="L76" s="32"/>
      <c r="M76" s="32"/>
      <c r="N76" s="37"/>
      <c r="O76" s="68" t="s">
        <v>64</v>
      </c>
      <c r="P76" s="36">
        <f>IF(C43="niet bekend",1,0)</f>
        <v>0</v>
      </c>
      <c r="Q76" s="14"/>
      <c r="R76" s="14"/>
      <c r="S76" s="32"/>
      <c r="T76" s="32"/>
      <c r="U76" s="44"/>
      <c r="V76" s="45"/>
      <c r="W76" s="72"/>
      <c r="X76" s="14"/>
      <c r="Y76" s="14"/>
      <c r="Z76" s="32"/>
    </row>
    <row r="77" spans="6:26" ht="14.25" hidden="1" thickBot="1">
      <c r="F77" s="59"/>
      <c r="G77" s="61" t="s">
        <v>83</v>
      </c>
      <c r="H77" s="61"/>
      <c r="I77" s="62">
        <f>IF(SUM(I70:I76)&gt;=1,1,0)</f>
        <v>0</v>
      </c>
      <c r="J77" s="60" t="s">
        <v>83</v>
      </c>
      <c r="K77" s="61"/>
      <c r="L77" s="188">
        <f>IF(L70=1,0.5,IF(SUM(L71:L76)&gt;=1,1,0))</f>
        <v>0</v>
      </c>
      <c r="M77" s="59"/>
      <c r="N77" s="61" t="s">
        <v>83</v>
      </c>
      <c r="O77" s="61"/>
      <c r="P77" s="62">
        <f>IF(SUM(P70:P76)&gt;=1,1,0)</f>
        <v>0</v>
      </c>
      <c r="Q77" s="60" t="s">
        <v>83</v>
      </c>
      <c r="R77" s="61"/>
      <c r="S77" s="188">
        <f>IF(S70=1,0.5,IF(SUM(S71:S76)&gt;=1,1,0))</f>
        <v>0</v>
      </c>
      <c r="T77" s="76"/>
      <c r="U77" s="61" t="s">
        <v>83</v>
      </c>
      <c r="V77" s="61"/>
      <c r="W77" s="62">
        <f>IF(SUM(W70:W76)&gt;=1,1,0)</f>
        <v>0</v>
      </c>
      <c r="X77" s="60" t="s">
        <v>83</v>
      </c>
      <c r="Y77" s="61"/>
      <c r="Z77" s="188">
        <f>IF(Z70=1,0.5,IF(SUM(Z71:Z76)&gt;=1,1,0))</f>
        <v>0</v>
      </c>
    </row>
    <row r="78" spans="6:26" ht="13.5" hidden="1">
      <c r="F78" s="23">
        <v>0.04513888888888889</v>
      </c>
      <c r="G78" s="82"/>
      <c r="H78" s="82"/>
      <c r="I78" s="83"/>
      <c r="J78" s="26"/>
      <c r="K78" s="26" t="s">
        <v>250</v>
      </c>
      <c r="L78" s="77">
        <f>IF(C35="nee",1,0)</f>
        <v>0</v>
      </c>
      <c r="M78" s="23">
        <v>0.08680555555555557</v>
      </c>
      <c r="N78" s="82"/>
      <c r="O78" s="82"/>
      <c r="P78" s="83"/>
      <c r="Q78" s="26"/>
      <c r="R78" s="26" t="s">
        <v>58</v>
      </c>
      <c r="S78" s="77">
        <f>IF(C41="nee",1,0)</f>
        <v>0</v>
      </c>
      <c r="T78" s="23">
        <v>0.12847222222222224</v>
      </c>
      <c r="U78" s="82"/>
      <c r="V78" s="82"/>
      <c r="W78" s="83"/>
      <c r="X78" s="26"/>
      <c r="Y78" s="26" t="s">
        <v>87</v>
      </c>
      <c r="Z78" s="27">
        <f>IF(C47="nee",1,0)</f>
        <v>0</v>
      </c>
    </row>
    <row r="79" spans="6:26" ht="13.5" hidden="1">
      <c r="F79" s="32"/>
      <c r="I79" s="72"/>
      <c r="L79" s="31"/>
      <c r="M79" s="32"/>
      <c r="P79" s="72"/>
      <c r="S79" s="31"/>
      <c r="T79" s="30"/>
      <c r="W79" s="72"/>
      <c r="Z79" s="31"/>
    </row>
    <row r="80" spans="6:26" ht="14.25" hidden="1" thickBot="1">
      <c r="F80" s="59"/>
      <c r="G80" s="61" t="s">
        <v>83</v>
      </c>
      <c r="H80" s="63"/>
      <c r="I80" s="62">
        <f>IF(SUM(I78:I79)&gt;=1,1,0)</f>
        <v>0</v>
      </c>
      <c r="J80" s="60" t="s">
        <v>83</v>
      </c>
      <c r="K80" s="63"/>
      <c r="L80" s="188">
        <f>IF(L78=1,0.5,IF(SUM(L79)&gt;=1,1,0))</f>
        <v>0</v>
      </c>
      <c r="M80" s="59"/>
      <c r="N80" s="61" t="s">
        <v>83</v>
      </c>
      <c r="O80" s="63"/>
      <c r="P80" s="62">
        <f>IF(SUM(P78)&gt;=1,1,0)</f>
        <v>0</v>
      </c>
      <c r="Q80" s="60" t="s">
        <v>83</v>
      </c>
      <c r="R80" s="63"/>
      <c r="S80" s="188">
        <f>IF(S78=1,0.5,IF(SUM(S79)&gt;=1,1,0))</f>
        <v>0</v>
      </c>
      <c r="T80" s="76"/>
      <c r="U80" s="61" t="s">
        <v>83</v>
      </c>
      <c r="V80" s="63"/>
      <c r="W80" s="62">
        <f>IF(SUM(W78)&gt;=1,1,0)</f>
        <v>0</v>
      </c>
      <c r="X80" s="60" t="s">
        <v>83</v>
      </c>
      <c r="Y80" s="63"/>
      <c r="Z80" s="188">
        <f>IF(Z78=1,0.5,IF(SUM(Z79)&gt;=1,1,0))</f>
        <v>0</v>
      </c>
    </row>
    <row r="81" spans="6:26" ht="13.5" hidden="1">
      <c r="F81" s="23">
        <v>0.04583333333333334</v>
      </c>
      <c r="G81" s="65"/>
      <c r="H81" s="65" t="s">
        <v>53</v>
      </c>
      <c r="I81" s="25">
        <f>IF(C53="nee",1,0)</f>
        <v>0</v>
      </c>
      <c r="J81" s="26"/>
      <c r="K81" s="26" t="s">
        <v>250</v>
      </c>
      <c r="L81" s="27">
        <f>IF(C35="nee",1,0)</f>
        <v>0</v>
      </c>
      <c r="M81" s="23">
        <v>0.0875</v>
      </c>
      <c r="N81" s="65"/>
      <c r="O81" s="65" t="s">
        <v>289</v>
      </c>
      <c r="P81" s="25">
        <f>IF(C55="ja",1,0)</f>
        <v>0</v>
      </c>
      <c r="Q81" s="26"/>
      <c r="R81" s="26" t="s">
        <v>58</v>
      </c>
      <c r="S81" s="27">
        <f>IF(C41="nee",1,0)</f>
        <v>0</v>
      </c>
      <c r="T81" s="23">
        <v>0.12916666666666668</v>
      </c>
      <c r="U81" s="65"/>
      <c r="V81" s="65" t="s">
        <v>77</v>
      </c>
      <c r="W81" s="25">
        <f>IF(C62="nee",1,0)</f>
        <v>0</v>
      </c>
      <c r="X81" s="26"/>
      <c r="Y81" s="26" t="s">
        <v>87</v>
      </c>
      <c r="Z81" s="27">
        <f>IF(C47="nee",1,0)</f>
        <v>0</v>
      </c>
    </row>
    <row r="82" spans="6:26" ht="13.5" hidden="1">
      <c r="F82" s="32"/>
      <c r="G82" s="42" t="s">
        <v>39</v>
      </c>
      <c r="H82" s="71"/>
      <c r="I82" s="31"/>
      <c r="L82" s="32"/>
      <c r="M82" s="32"/>
      <c r="N82" s="42" t="s">
        <v>39</v>
      </c>
      <c r="O82" s="71"/>
      <c r="P82" s="31"/>
      <c r="S82" s="32"/>
      <c r="T82" s="32"/>
      <c r="U82" s="42" t="s">
        <v>39</v>
      </c>
      <c r="V82" s="71"/>
      <c r="W82" s="31"/>
      <c r="Z82" s="32"/>
    </row>
    <row r="83" spans="6:26" ht="13.5" hidden="1">
      <c r="F83" s="32"/>
      <c r="G83" s="70"/>
      <c r="H83" s="70" t="s">
        <v>54</v>
      </c>
      <c r="I83" s="36">
        <f>IF(C53="niet bekend",1,0)</f>
        <v>0</v>
      </c>
      <c r="J83" s="14"/>
      <c r="K83" s="14"/>
      <c r="L83" s="32"/>
      <c r="M83" s="32"/>
      <c r="N83" s="70"/>
      <c r="O83" s="70" t="s">
        <v>65</v>
      </c>
      <c r="P83" s="36">
        <f>IF(C55="niet bekend",1,0)</f>
        <v>0</v>
      </c>
      <c r="Q83" s="14"/>
      <c r="R83" s="14"/>
      <c r="S83" s="32"/>
      <c r="T83" s="32"/>
      <c r="U83" s="70"/>
      <c r="V83" s="70" t="s">
        <v>78</v>
      </c>
      <c r="W83" s="36">
        <f>IF(C62="niet bekend",1,0)</f>
        <v>0</v>
      </c>
      <c r="X83" s="14"/>
      <c r="Y83" s="14"/>
      <c r="Z83" s="32"/>
    </row>
    <row r="84" spans="6:26" ht="14.25" hidden="1" thickBot="1">
      <c r="F84" s="59"/>
      <c r="G84" s="61" t="s">
        <v>83</v>
      </c>
      <c r="H84" s="61"/>
      <c r="I84" s="62">
        <f>IF(SUM(I81:I83)&gt;=1,1,0)</f>
        <v>0</v>
      </c>
      <c r="J84" s="60" t="s">
        <v>83</v>
      </c>
      <c r="K84" s="61"/>
      <c r="L84" s="188">
        <f>IF(L81=1,0.5,IF(SUM(L82:L83)&gt;=1,1,0))</f>
        <v>0</v>
      </c>
      <c r="M84" s="59"/>
      <c r="N84" s="61" t="s">
        <v>83</v>
      </c>
      <c r="O84" s="61"/>
      <c r="P84" s="62">
        <f>IF(SUM(P81:P83)&gt;=1,1,0)</f>
        <v>0</v>
      </c>
      <c r="Q84" s="60" t="s">
        <v>83</v>
      </c>
      <c r="R84" s="61"/>
      <c r="S84" s="188">
        <f>IF(S81=1,0.5,IF(SUM(S82:S83)&gt;=1,1,0))</f>
        <v>0</v>
      </c>
      <c r="T84" s="76"/>
      <c r="U84" s="61" t="s">
        <v>83</v>
      </c>
      <c r="V84" s="61"/>
      <c r="W84" s="62">
        <f>IF(SUM(W81:W83)&gt;=1,1,0)</f>
        <v>0</v>
      </c>
      <c r="X84" s="60" t="s">
        <v>83</v>
      </c>
      <c r="Y84" s="61"/>
      <c r="Z84" s="188">
        <f>IF(Z81=1,0.5,IF(SUM(Z82:Z83)&gt;=1,1,0))</f>
        <v>0</v>
      </c>
    </row>
    <row r="85" spans="6:26" ht="14.25" hidden="1" thickBot="1">
      <c r="F85" s="84"/>
      <c r="G85" s="85" t="s">
        <v>112</v>
      </c>
      <c r="H85" s="85"/>
      <c r="I85" s="84"/>
      <c r="J85" s="85"/>
      <c r="K85" s="85"/>
      <c r="L85" s="78">
        <f>IF((L38+L42+L53+L66+L69+L77+L80+L84)&gt;=1,2,0)</f>
        <v>0</v>
      </c>
      <c r="M85" s="23" t="s">
        <v>156</v>
      </c>
      <c r="N85" s="86"/>
      <c r="O85" s="65" t="s">
        <v>208</v>
      </c>
      <c r="P85" s="66">
        <f>IF(C56="&gt; 3 km",IF(C44="&gt; 250.000 GJ/jaar",1,0),0)</f>
        <v>0</v>
      </c>
      <c r="Q85" s="141"/>
      <c r="R85" s="26" t="s">
        <v>58</v>
      </c>
      <c r="S85" s="27">
        <f>IF(C41="nee",1,0)</f>
        <v>0</v>
      </c>
      <c r="T85" s="23" t="s">
        <v>158</v>
      </c>
      <c r="U85" s="65"/>
      <c r="V85" s="65" t="s">
        <v>212</v>
      </c>
      <c r="W85" s="66">
        <f>IF(C60="&gt; 3 km",IF(C50="&gt; 250.000 GJ/jaar",1,0),0)</f>
        <v>0</v>
      </c>
      <c r="X85" s="26"/>
      <c r="Y85" s="26" t="s">
        <v>87</v>
      </c>
      <c r="Z85" s="27">
        <f>IF(C47="nee",1,0)</f>
        <v>0</v>
      </c>
    </row>
    <row r="86" spans="6:26" ht="13.5" hidden="1">
      <c r="F86" s="13"/>
      <c r="G86" s="14"/>
      <c r="H86" s="14"/>
      <c r="I86" s="13"/>
      <c r="J86" s="14"/>
      <c r="K86" s="14"/>
      <c r="L86" s="13"/>
      <c r="M86" s="32"/>
      <c r="N86" s="48" t="s">
        <v>41</v>
      </c>
      <c r="O86" s="53" t="s">
        <v>89</v>
      </c>
      <c r="P86" s="56"/>
      <c r="Q86" s="33"/>
      <c r="R86" s="14"/>
      <c r="S86" s="32"/>
      <c r="T86" s="30"/>
      <c r="U86" s="48" t="s">
        <v>41</v>
      </c>
      <c r="V86" s="193" t="s">
        <v>90</v>
      </c>
      <c r="W86" s="56"/>
      <c r="Z86" s="32"/>
    </row>
    <row r="87" spans="13:26" ht="13.5" hidden="1">
      <c r="M87" s="32"/>
      <c r="N87" s="33" t="s">
        <v>39</v>
      </c>
      <c r="O87" s="14"/>
      <c r="P87" s="30"/>
      <c r="Q87" s="33"/>
      <c r="R87" s="14"/>
      <c r="S87" s="32"/>
      <c r="T87" s="32"/>
      <c r="U87" s="6" t="s">
        <v>39</v>
      </c>
      <c r="W87" s="30"/>
      <c r="X87" s="14"/>
      <c r="Y87" s="14"/>
      <c r="Z87" s="32"/>
    </row>
    <row r="88" spans="13:26" ht="13.5" hidden="1">
      <c r="M88" s="30"/>
      <c r="N88" s="37"/>
      <c r="O88" s="68" t="s">
        <v>103</v>
      </c>
      <c r="P88" s="54">
        <f>IF(C56="1-3 km",IF(C44="25.001 - 250.000 GJ/jaar",1,0),0)</f>
        <v>0</v>
      </c>
      <c r="Q88" s="55"/>
      <c r="R88" s="40" t="s">
        <v>208</v>
      </c>
      <c r="S88" s="41">
        <f>IF(C56="&gt; 3 km",IF(C44="2.501 - 25.000 GJ/jaar",1,0),0)</f>
        <v>0</v>
      </c>
      <c r="T88" s="30"/>
      <c r="U88" s="68"/>
      <c r="V88" s="68" t="s">
        <v>105</v>
      </c>
      <c r="W88" s="54">
        <f>IF(C60="1-3 km",IF(C50="25.001 - 250.000 GJ/jaar",1,0),0)</f>
        <v>0</v>
      </c>
      <c r="X88" s="55"/>
      <c r="Y88" s="40" t="s">
        <v>212</v>
      </c>
      <c r="Z88" s="41">
        <f>IF(C60="&gt; 3 km",IF(C50="2.501 - 25.000 GJ/jaar",1,0),0)</f>
        <v>0</v>
      </c>
    </row>
    <row r="89" spans="13:26" ht="13.5" hidden="1">
      <c r="M89" s="30"/>
      <c r="N89" s="48" t="s">
        <v>41</v>
      </c>
      <c r="O89" s="53" t="s">
        <v>60</v>
      </c>
      <c r="P89" s="56"/>
      <c r="Q89" s="49" t="s">
        <v>41</v>
      </c>
      <c r="R89" s="50" t="s">
        <v>59</v>
      </c>
      <c r="S89" s="69"/>
      <c r="T89" s="30"/>
      <c r="U89" s="53" t="s">
        <v>41</v>
      </c>
      <c r="V89" s="53" t="s">
        <v>74</v>
      </c>
      <c r="W89" s="56"/>
      <c r="X89" s="49" t="s">
        <v>41</v>
      </c>
      <c r="Y89" s="50" t="s">
        <v>73</v>
      </c>
      <c r="Z89" s="69"/>
    </row>
    <row r="90" spans="13:26" ht="13.5" hidden="1">
      <c r="M90" s="32"/>
      <c r="N90" s="33" t="s">
        <v>39</v>
      </c>
      <c r="O90" s="14"/>
      <c r="P90" s="32"/>
      <c r="Q90" s="33"/>
      <c r="R90" s="14"/>
      <c r="S90" s="32"/>
      <c r="T90" s="32"/>
      <c r="U90" s="6" t="s">
        <v>39</v>
      </c>
      <c r="W90" s="32"/>
      <c r="Z90" s="32"/>
    </row>
    <row r="91" spans="13:26" ht="13.5" hidden="1">
      <c r="M91" s="32"/>
      <c r="N91" s="37"/>
      <c r="O91" s="68" t="s">
        <v>103</v>
      </c>
      <c r="P91" s="54">
        <f>IF(C56="1-3 km",IF(C44="2.501 - 25.000 GJ/jaar",1,0),0)</f>
        <v>0</v>
      </c>
      <c r="Q91" s="55"/>
      <c r="R91" s="40" t="s">
        <v>208</v>
      </c>
      <c r="S91" s="41">
        <f>IF(C56="&gt; 3 km",IF(C44="0 - 2.500 GJ/jaar",1,0),0)</f>
        <v>0</v>
      </c>
      <c r="T91" s="32"/>
      <c r="U91" s="68"/>
      <c r="V91" s="68" t="s">
        <v>105</v>
      </c>
      <c r="W91" s="54">
        <f>IF(C60="1-3 km",IF(C50="2.501 - 25.000 GJ/jaar",1,0),0)</f>
        <v>0</v>
      </c>
      <c r="X91" s="149"/>
      <c r="Y91" s="89" t="s">
        <v>79</v>
      </c>
      <c r="Z91" s="90">
        <f>IF(C50="0 - 2.500 GJ/jaar",1,0)</f>
        <v>0</v>
      </c>
    </row>
    <row r="92" spans="13:26" ht="13.5" hidden="1">
      <c r="M92" s="32"/>
      <c r="N92" s="48" t="s">
        <v>41</v>
      </c>
      <c r="O92" s="53" t="s">
        <v>59</v>
      </c>
      <c r="P92" s="56"/>
      <c r="Q92" s="49" t="s">
        <v>41</v>
      </c>
      <c r="R92" s="50" t="s">
        <v>66</v>
      </c>
      <c r="S92" s="69"/>
      <c r="T92" s="32"/>
      <c r="U92" s="53" t="s">
        <v>41</v>
      </c>
      <c r="V92" s="53" t="s">
        <v>73</v>
      </c>
      <c r="W92" s="56"/>
      <c r="X92" s="79"/>
      <c r="Y92" s="127"/>
      <c r="Z92" s="81"/>
    </row>
    <row r="93" spans="13:26" ht="13.5" hidden="1">
      <c r="M93" s="32"/>
      <c r="N93" s="33" t="s">
        <v>39</v>
      </c>
      <c r="O93" s="14"/>
      <c r="P93" s="32"/>
      <c r="Q93" s="33" t="s">
        <v>39</v>
      </c>
      <c r="R93" s="14"/>
      <c r="S93" s="32"/>
      <c r="T93" s="32"/>
      <c r="U93" s="14"/>
      <c r="V93" s="14"/>
      <c r="W93" s="32"/>
      <c r="X93" s="14"/>
      <c r="Y93" s="14"/>
      <c r="Z93" s="32"/>
    </row>
    <row r="94" spans="13:26" ht="13.5" hidden="1">
      <c r="M94" s="32"/>
      <c r="N94" s="37"/>
      <c r="O94" s="68" t="s">
        <v>210</v>
      </c>
      <c r="P94" s="54">
        <f>IF(C54="300 m-1 km",IF(C44="0 - 2.500 GJ/jaar",1,0),0)</f>
        <v>0</v>
      </c>
      <c r="Q94" s="55"/>
      <c r="R94" s="40" t="s">
        <v>103</v>
      </c>
      <c r="S94" s="41">
        <f>IF(C56="1-3 km",IF(C44="0 - 2.500 GJ/jaar",1,0),0)</f>
        <v>0</v>
      </c>
      <c r="T94" s="32"/>
      <c r="U94" s="14"/>
      <c r="V94" s="14"/>
      <c r="W94" s="32"/>
      <c r="X94" s="14"/>
      <c r="Y94" s="14"/>
      <c r="Z94" s="32"/>
    </row>
    <row r="95" spans="13:26" ht="13.5" hidden="1">
      <c r="M95" s="32"/>
      <c r="N95" s="48" t="s">
        <v>41</v>
      </c>
      <c r="O95" s="53" t="s">
        <v>66</v>
      </c>
      <c r="P95" s="56"/>
      <c r="Q95" s="49" t="s">
        <v>41</v>
      </c>
      <c r="R95" s="50" t="s">
        <v>66</v>
      </c>
      <c r="S95" s="69"/>
      <c r="T95" s="32"/>
      <c r="U95" s="52"/>
      <c r="V95" s="52"/>
      <c r="W95" s="72"/>
      <c r="X95" s="52"/>
      <c r="Y95" s="52"/>
      <c r="Z95" s="72"/>
    </row>
    <row r="96" spans="13:26" ht="14.25" hidden="1" thickBot="1">
      <c r="M96" s="59"/>
      <c r="N96" s="60" t="s">
        <v>83</v>
      </c>
      <c r="O96" s="61"/>
      <c r="P96" s="62">
        <f>IF(SUM(P85:P95)&gt;=1,1,0)</f>
        <v>0</v>
      </c>
      <c r="Q96" s="60" t="s">
        <v>83</v>
      </c>
      <c r="R96" s="61"/>
      <c r="S96" s="188">
        <f>IF(S85=1,0.5,IF(SUM(S88:S95)&gt;=1,1,0))</f>
        <v>0</v>
      </c>
      <c r="T96" s="59"/>
      <c r="U96" s="61" t="s">
        <v>83</v>
      </c>
      <c r="V96" s="61"/>
      <c r="W96" s="62">
        <f>IF(SUM(W85:W95)&gt;=1,1,0)</f>
        <v>0</v>
      </c>
      <c r="X96" s="61" t="s">
        <v>83</v>
      </c>
      <c r="Y96" s="61"/>
      <c r="Z96" s="188">
        <f>IF(Z85=1,0.5,IF(SUM(Z88:Z95)&gt;=1,1,0))</f>
        <v>0</v>
      </c>
    </row>
    <row r="97" spans="13:26" ht="13.5" hidden="1">
      <c r="M97" s="83" t="s">
        <v>157</v>
      </c>
      <c r="N97" s="68"/>
      <c r="O97" s="68" t="s">
        <v>210</v>
      </c>
      <c r="P97" s="54">
        <f>IF(C54="300 m-1 km",IF(C57="ja",1,0),0)</f>
        <v>0</v>
      </c>
      <c r="Q97" s="26"/>
      <c r="R97" s="26" t="s">
        <v>58</v>
      </c>
      <c r="S97" s="27">
        <f>IF(C41="nee",1,0)</f>
        <v>0</v>
      </c>
      <c r="T97" s="32"/>
      <c r="U97" s="68"/>
      <c r="V97" s="68" t="s">
        <v>213</v>
      </c>
      <c r="W97" s="54">
        <f>IF(C60="300 m-1 km",IF(C61="ja",1,0),0)</f>
        <v>0</v>
      </c>
      <c r="X97" s="26"/>
      <c r="Y97" s="26" t="s">
        <v>87</v>
      </c>
      <c r="Z97" s="27">
        <f>IF(C47="nee",1,0)</f>
        <v>0</v>
      </c>
    </row>
    <row r="98" spans="13:26" ht="13.5" hidden="1">
      <c r="M98" s="32"/>
      <c r="N98" s="53" t="s">
        <v>41</v>
      </c>
      <c r="O98" s="53" t="s">
        <v>67</v>
      </c>
      <c r="P98" s="56"/>
      <c r="S98" s="81"/>
      <c r="T98" s="32"/>
      <c r="U98" s="53" t="s">
        <v>41</v>
      </c>
      <c r="V98" s="53" t="s">
        <v>80</v>
      </c>
      <c r="W98" s="56"/>
      <c r="Z98" s="81"/>
    </row>
    <row r="99" spans="13:26" ht="13.5" hidden="1">
      <c r="M99" s="32"/>
      <c r="N99" s="14" t="s">
        <v>39</v>
      </c>
      <c r="O99" s="14"/>
      <c r="P99" s="32"/>
      <c r="S99" s="32"/>
      <c r="T99" s="32"/>
      <c r="U99" s="14" t="s">
        <v>39</v>
      </c>
      <c r="V99" s="14"/>
      <c r="W99" s="32"/>
      <c r="Z99" s="32"/>
    </row>
    <row r="100" spans="13:26" ht="13.5" hidden="1">
      <c r="M100" s="32"/>
      <c r="N100" s="37"/>
      <c r="O100" s="68" t="s">
        <v>103</v>
      </c>
      <c r="P100" s="54">
        <f>IF(C56="1-3 km",IF(C57="ja",1,0),0)</f>
        <v>0</v>
      </c>
      <c r="S100" s="32"/>
      <c r="T100" s="32"/>
      <c r="U100" s="37"/>
      <c r="V100" s="68" t="s">
        <v>105</v>
      </c>
      <c r="W100" s="54">
        <f>IF(C60="1-3 km",IF(C61="ja",1,0),0)</f>
        <v>0</v>
      </c>
      <c r="Z100" s="32"/>
    </row>
    <row r="101" spans="13:26" ht="13.5" hidden="1">
      <c r="M101" s="32"/>
      <c r="N101" s="48" t="s">
        <v>41</v>
      </c>
      <c r="O101" s="53" t="s">
        <v>67</v>
      </c>
      <c r="P101" s="56"/>
      <c r="S101" s="32"/>
      <c r="T101" s="32"/>
      <c r="U101" s="48" t="s">
        <v>41</v>
      </c>
      <c r="V101" s="53" t="s">
        <v>80</v>
      </c>
      <c r="W101" s="56"/>
      <c r="Z101" s="32"/>
    </row>
    <row r="102" spans="13:26" ht="13.5" hidden="1">
      <c r="M102" s="32"/>
      <c r="N102" s="6" t="s">
        <v>39</v>
      </c>
      <c r="P102" s="32"/>
      <c r="S102" s="32"/>
      <c r="T102" s="32"/>
      <c r="U102" s="6" t="s">
        <v>39</v>
      </c>
      <c r="W102" s="32"/>
      <c r="Z102" s="32"/>
    </row>
    <row r="103" spans="13:26" ht="13.5" hidden="1">
      <c r="M103" s="32"/>
      <c r="N103" s="68"/>
      <c r="O103" s="68" t="s">
        <v>211</v>
      </c>
      <c r="P103" s="54">
        <f>IF(C56="&gt; 3 km",IF(C57="ja",1,0),0)</f>
        <v>0</v>
      </c>
      <c r="S103" s="32"/>
      <c r="T103" s="32"/>
      <c r="U103" s="68"/>
      <c r="V103" s="68" t="s">
        <v>214</v>
      </c>
      <c r="W103" s="54">
        <f>IF(C60="&gt; 3 km",IF(C61="ja",1,0),0)</f>
        <v>0</v>
      </c>
      <c r="Z103" s="32"/>
    </row>
    <row r="104" spans="13:26" ht="13.5" hidden="1">
      <c r="M104" s="32"/>
      <c r="N104" s="53" t="s">
        <v>41</v>
      </c>
      <c r="O104" s="53" t="s">
        <v>67</v>
      </c>
      <c r="P104" s="56"/>
      <c r="S104" s="32"/>
      <c r="T104" s="32"/>
      <c r="U104" s="53" t="s">
        <v>41</v>
      </c>
      <c r="V104" s="53" t="s">
        <v>80</v>
      </c>
      <c r="W104" s="56"/>
      <c r="Z104" s="32"/>
    </row>
    <row r="105" spans="13:26" ht="13.5" hidden="1">
      <c r="M105" s="32"/>
      <c r="N105" s="6" t="s">
        <v>39</v>
      </c>
      <c r="P105" s="32"/>
      <c r="S105" s="32"/>
      <c r="T105" s="32"/>
      <c r="U105" s="6" t="s">
        <v>39</v>
      </c>
      <c r="W105" s="32"/>
      <c r="Z105" s="32"/>
    </row>
    <row r="106" spans="10:26" ht="13.5" hidden="1">
      <c r="J106" s="6" t="s">
        <v>305</v>
      </c>
      <c r="M106" s="32"/>
      <c r="N106" s="37"/>
      <c r="O106" s="68" t="s">
        <v>211</v>
      </c>
      <c r="P106" s="54">
        <f>IF(C56="&gt; 3 km",IF(C30="&gt; 90 C",IF(C45="&gt; 90 C",1,0),0),0)</f>
        <v>0</v>
      </c>
      <c r="S106" s="32"/>
      <c r="T106" s="32"/>
      <c r="U106" s="37"/>
      <c r="V106" s="68" t="s">
        <v>214</v>
      </c>
      <c r="W106" s="54">
        <f>IF(C60="&gt; 3 km",IF(C30="&gt; 90 C",IF(C51="&gt; 90 C",1,0),0),0)</f>
        <v>0</v>
      </c>
      <c r="Z106" s="32"/>
    </row>
    <row r="107" spans="13:26" ht="13.5" hidden="1">
      <c r="M107" s="32"/>
      <c r="N107" s="57" t="s">
        <v>41</v>
      </c>
      <c r="O107" s="70" t="s">
        <v>142</v>
      </c>
      <c r="P107" s="58"/>
      <c r="S107" s="32"/>
      <c r="T107" s="32"/>
      <c r="U107" s="57" t="s">
        <v>41</v>
      </c>
      <c r="V107" s="70" t="s">
        <v>142</v>
      </c>
      <c r="W107" s="58"/>
      <c r="Z107" s="32"/>
    </row>
    <row r="108" spans="13:26" ht="13.5" hidden="1">
      <c r="M108" s="32"/>
      <c r="N108" s="48" t="s">
        <v>41</v>
      </c>
      <c r="O108" s="53" t="s">
        <v>146</v>
      </c>
      <c r="P108" s="56"/>
      <c r="S108" s="32"/>
      <c r="T108" s="32"/>
      <c r="U108" s="48" t="s">
        <v>41</v>
      </c>
      <c r="V108" s="53" t="s">
        <v>147</v>
      </c>
      <c r="W108" s="56"/>
      <c r="Z108" s="32"/>
    </row>
    <row r="109" spans="13:26" ht="13.5" hidden="1">
      <c r="M109" s="32"/>
      <c r="P109" s="32"/>
      <c r="S109" s="32"/>
      <c r="T109" s="32"/>
      <c r="U109" s="6" t="s">
        <v>39</v>
      </c>
      <c r="W109" s="32"/>
      <c r="Z109" s="32"/>
    </row>
    <row r="110" spans="13:26" ht="13.5" hidden="1">
      <c r="M110" s="32"/>
      <c r="N110" s="35"/>
      <c r="O110" s="35" t="s">
        <v>61</v>
      </c>
      <c r="P110" s="36">
        <f>IF(C44="niet bekend",1,0)</f>
        <v>0</v>
      </c>
      <c r="Q110" s="14"/>
      <c r="R110" s="14"/>
      <c r="S110" s="32"/>
      <c r="T110" s="32"/>
      <c r="U110" s="35"/>
      <c r="V110" s="35" t="s">
        <v>75</v>
      </c>
      <c r="W110" s="36">
        <f>IF(C50="niet bekend",1,0)</f>
        <v>0</v>
      </c>
      <c r="X110" s="14"/>
      <c r="Y110" s="14"/>
      <c r="Z110" s="32"/>
    </row>
    <row r="111" spans="13:26" ht="13.5" hidden="1">
      <c r="M111" s="32"/>
      <c r="N111" s="14" t="s">
        <v>39</v>
      </c>
      <c r="O111" s="14"/>
      <c r="P111" s="32"/>
      <c r="Q111" s="14"/>
      <c r="R111" s="14"/>
      <c r="S111" s="32"/>
      <c r="T111" s="32"/>
      <c r="U111" s="14" t="s">
        <v>39</v>
      </c>
      <c r="V111" s="14"/>
      <c r="W111" s="32"/>
      <c r="X111" s="14"/>
      <c r="Y111" s="14"/>
      <c r="Z111" s="32"/>
    </row>
    <row r="112" spans="13:26" ht="13.5" hidden="1">
      <c r="M112" s="32"/>
      <c r="N112" s="35"/>
      <c r="O112" s="35" t="s">
        <v>68</v>
      </c>
      <c r="P112" s="36">
        <f>IF(C56="niet bekend",1,0)</f>
        <v>0</v>
      </c>
      <c r="Q112" s="14"/>
      <c r="R112" s="14"/>
      <c r="S112" s="32"/>
      <c r="T112" s="32"/>
      <c r="U112" s="35"/>
      <c r="V112" s="35" t="s">
        <v>81</v>
      </c>
      <c r="W112" s="36">
        <f>IF(C60="niet bekend",1,0)</f>
        <v>0</v>
      </c>
      <c r="X112" s="14"/>
      <c r="Y112" s="14"/>
      <c r="Z112" s="32"/>
    </row>
    <row r="113" spans="13:26" ht="13.5" hidden="1">
      <c r="M113" s="32"/>
      <c r="N113" s="14" t="s">
        <v>39</v>
      </c>
      <c r="O113" s="14"/>
      <c r="P113" s="32"/>
      <c r="Q113" s="14"/>
      <c r="R113" s="14"/>
      <c r="S113" s="32"/>
      <c r="T113" s="32"/>
      <c r="U113" s="14" t="s">
        <v>39</v>
      </c>
      <c r="V113" s="14"/>
      <c r="W113" s="32"/>
      <c r="X113" s="14"/>
      <c r="Y113" s="14"/>
      <c r="Z113" s="32"/>
    </row>
    <row r="114" spans="13:26" ht="13.5" hidden="1">
      <c r="M114" s="32"/>
      <c r="N114" s="35"/>
      <c r="O114" s="35" t="s">
        <v>69</v>
      </c>
      <c r="P114" s="36">
        <f>IF(C57="niet bekend",1,0)</f>
        <v>0</v>
      </c>
      <c r="Q114" s="14"/>
      <c r="R114" s="14"/>
      <c r="S114" s="32"/>
      <c r="T114" s="32"/>
      <c r="U114" s="35"/>
      <c r="V114" s="35" t="s">
        <v>82</v>
      </c>
      <c r="W114" s="36">
        <f>IF(C61="niet bekend",1,0)</f>
        <v>0</v>
      </c>
      <c r="X114" s="14"/>
      <c r="Y114" s="14"/>
      <c r="Z114" s="32"/>
    </row>
    <row r="115" spans="13:26" ht="14.25" hidden="1" thickBot="1">
      <c r="M115" s="59"/>
      <c r="N115" s="61" t="s">
        <v>83</v>
      </c>
      <c r="O115" s="61"/>
      <c r="P115" s="62">
        <f>IF(SUM(P97:P114)&gt;=1,1,0)</f>
        <v>0</v>
      </c>
      <c r="Q115" s="61" t="s">
        <v>83</v>
      </c>
      <c r="R115" s="61"/>
      <c r="S115" s="188">
        <f>IF(S97=1,0.5,IF(SUM(S99:S114)&gt;=1,1,0))</f>
        <v>0</v>
      </c>
      <c r="T115" s="87"/>
      <c r="U115" s="61" t="s">
        <v>83</v>
      </c>
      <c r="V115" s="61"/>
      <c r="W115" s="62">
        <f>IF(SUM(W97:W114)&gt;=1,1,0)</f>
        <v>0</v>
      </c>
      <c r="X115" s="60" t="s">
        <v>83</v>
      </c>
      <c r="Y115" s="61"/>
      <c r="Z115" s="188">
        <f>IF(Z97=1,0.5,IF(SUM(Z99:Z114)&gt;=1,1,0))</f>
        <v>0</v>
      </c>
    </row>
    <row r="116" spans="13:26" ht="14.25" hidden="1" thickBot="1">
      <c r="M116" s="84"/>
      <c r="N116" s="85" t="s">
        <v>112</v>
      </c>
      <c r="O116" s="85"/>
      <c r="P116" s="84"/>
      <c r="Q116" s="85"/>
      <c r="R116" s="85"/>
      <c r="S116" s="142">
        <f>IF((S38+S42+S53+S66+S69+S77+S80+S84+S96+S115)&gt;=1,2,0)</f>
        <v>0</v>
      </c>
      <c r="T116" s="88" t="s">
        <v>159</v>
      </c>
      <c r="U116" s="86"/>
      <c r="V116" s="65" t="s">
        <v>213</v>
      </c>
      <c r="W116" s="66">
        <f>IF(C63="20-40 (dorp)",IF(C60="300 m-1 km",1,0),0)</f>
        <v>0</v>
      </c>
      <c r="X116" s="26"/>
      <c r="Y116" s="26" t="s">
        <v>87</v>
      </c>
      <c r="Z116" s="27">
        <f>IF(C47="nee",1,0)</f>
        <v>0</v>
      </c>
    </row>
    <row r="117" spans="20:26" ht="13.5" hidden="1">
      <c r="T117" s="30"/>
      <c r="U117" s="48" t="s">
        <v>41</v>
      </c>
      <c r="V117" s="53" t="s">
        <v>258</v>
      </c>
      <c r="W117" s="56"/>
      <c r="X117" s="71" t="s">
        <v>39</v>
      </c>
      <c r="Y117" s="71"/>
      <c r="Z117" s="31"/>
    </row>
    <row r="118" spans="20:26" ht="13.5" hidden="1">
      <c r="T118" s="30"/>
      <c r="U118" s="33" t="s">
        <v>39</v>
      </c>
      <c r="V118" s="14"/>
      <c r="W118" s="32"/>
      <c r="X118" s="89"/>
      <c r="Y118" s="89" t="s">
        <v>257</v>
      </c>
      <c r="Z118" s="90">
        <f>IF(C63="&lt; 20 (landelijk)",1,0)</f>
        <v>0</v>
      </c>
    </row>
    <row r="119" spans="20:26" ht="13.5" hidden="1">
      <c r="T119" s="30"/>
      <c r="U119" s="37"/>
      <c r="V119" s="68" t="s">
        <v>105</v>
      </c>
      <c r="W119" s="54">
        <f>IF(C60="1-3 km",IF(C63="40-60 (stedelijk)",1,0),0)</f>
        <v>0</v>
      </c>
      <c r="X119" s="52" t="s">
        <v>39</v>
      </c>
      <c r="Y119" s="52"/>
      <c r="Z119" s="72"/>
    </row>
    <row r="120" spans="20:26" ht="13.5" hidden="1">
      <c r="T120" s="30"/>
      <c r="U120" s="48" t="s">
        <v>41</v>
      </c>
      <c r="V120" s="53" t="s">
        <v>259</v>
      </c>
      <c r="W120" s="56"/>
      <c r="X120" s="40"/>
      <c r="Y120" s="40" t="s">
        <v>105</v>
      </c>
      <c r="Z120" s="41">
        <f>IF(C60="1-3 km",IF(C63="20-40 (dorp)",1,0),0)</f>
        <v>0</v>
      </c>
    </row>
    <row r="121" spans="20:26" ht="13.5" hidden="1">
      <c r="T121" s="30"/>
      <c r="U121" s="33" t="s">
        <v>39</v>
      </c>
      <c r="V121" s="14"/>
      <c r="W121" s="32"/>
      <c r="X121" s="50"/>
      <c r="Y121" s="50" t="s">
        <v>258</v>
      </c>
      <c r="Z121" s="69"/>
    </row>
    <row r="122" spans="20:26" ht="13.5" hidden="1">
      <c r="T122" s="30"/>
      <c r="U122" s="37"/>
      <c r="V122" s="68" t="s">
        <v>214</v>
      </c>
      <c r="W122" s="54">
        <f>IF(C60="&gt; 3 km",IF(C63="&gt; 60 (hoogstedelijk)",1,0),0)</f>
        <v>0</v>
      </c>
      <c r="X122" s="6" t="s">
        <v>39</v>
      </c>
      <c r="Z122" s="32"/>
    </row>
    <row r="123" spans="20:26" ht="13.5" hidden="1">
      <c r="T123" s="30"/>
      <c r="U123" s="48" t="s">
        <v>41</v>
      </c>
      <c r="V123" s="53" t="s">
        <v>260</v>
      </c>
      <c r="W123" s="56"/>
      <c r="X123" s="40"/>
      <c r="Y123" s="40" t="s">
        <v>214</v>
      </c>
      <c r="Z123" s="41">
        <f>IF(C60="&gt; 3 km",IF(C63="20-40 (dorp)",1,IF(C63="40-60 (stedelijk)",1,0)),0)</f>
        <v>0</v>
      </c>
    </row>
    <row r="124" spans="20:26" ht="13.5" hidden="1">
      <c r="T124" s="30"/>
      <c r="U124" s="33" t="s">
        <v>39</v>
      </c>
      <c r="V124" s="14"/>
      <c r="W124" s="32"/>
      <c r="X124" s="50"/>
      <c r="Y124" s="50" t="s">
        <v>265</v>
      </c>
      <c r="Z124" s="69"/>
    </row>
    <row r="125" spans="20:26" ht="13.5" hidden="1">
      <c r="T125" s="30"/>
      <c r="U125" s="38"/>
      <c r="V125" s="35" t="s">
        <v>110</v>
      </c>
      <c r="W125" s="36">
        <f>IF(C63="niet bekend",1,0)</f>
        <v>0</v>
      </c>
      <c r="Z125" s="32"/>
    </row>
    <row r="126" spans="20:26" ht="14.25" hidden="1" thickBot="1">
      <c r="T126" s="30"/>
      <c r="U126" s="60" t="s">
        <v>83</v>
      </c>
      <c r="V126" s="61"/>
      <c r="W126" s="62">
        <f>IF(SUM(W116:W125)&gt;=1,1,0)</f>
        <v>0</v>
      </c>
      <c r="X126" s="61" t="s">
        <v>83</v>
      </c>
      <c r="Y126" s="61"/>
      <c r="Z126" s="188">
        <f>IF(Z116=1,0.5,IF(SUM(Z118:Z125)&gt;=1,1,0))</f>
        <v>0</v>
      </c>
    </row>
    <row r="127" spans="20:26" ht="13.5" hidden="1">
      <c r="T127" s="135" t="s">
        <v>160</v>
      </c>
      <c r="U127" s="37"/>
      <c r="V127" s="68" t="s">
        <v>213</v>
      </c>
      <c r="W127" s="54">
        <f>IF(C64="20-40 (dorp)",IF(C60="300 m- km",1,0),0)</f>
        <v>0</v>
      </c>
      <c r="X127" s="26"/>
      <c r="Y127" s="26" t="s">
        <v>87</v>
      </c>
      <c r="Z127" s="27">
        <f>IF(C47="nee",1,0)</f>
        <v>0</v>
      </c>
    </row>
    <row r="128" spans="20:26" ht="13.5" hidden="1">
      <c r="T128" s="30"/>
      <c r="U128" s="48" t="s">
        <v>41</v>
      </c>
      <c r="V128" s="53" t="s">
        <v>262</v>
      </c>
      <c r="W128" s="56"/>
      <c r="X128" s="71"/>
      <c r="Y128" s="71"/>
      <c r="Z128" s="31"/>
    </row>
    <row r="129" spans="20:26" ht="13.5" hidden="1">
      <c r="T129" s="30"/>
      <c r="W129" s="32"/>
      <c r="X129" s="89"/>
      <c r="Y129" s="89" t="s">
        <v>261</v>
      </c>
      <c r="Z129" s="90">
        <f>IF(C64="&lt; 20 (landelijk)",1,0)</f>
        <v>0</v>
      </c>
    </row>
    <row r="130" spans="20:26" ht="13.5" hidden="1">
      <c r="T130" s="30"/>
      <c r="U130" s="37"/>
      <c r="V130" s="68" t="s">
        <v>105</v>
      </c>
      <c r="W130" s="54">
        <f>IF(C60="1-3 km",IF(C64="40-60 (stedelijk)",1,0),0)</f>
        <v>0</v>
      </c>
      <c r="X130" s="33"/>
      <c r="Y130" s="14"/>
      <c r="Z130" s="32"/>
    </row>
    <row r="131" spans="20:26" ht="13.5" hidden="1">
      <c r="T131" s="30"/>
      <c r="U131" s="48" t="s">
        <v>41</v>
      </c>
      <c r="V131" s="53" t="s">
        <v>263</v>
      </c>
      <c r="W131" s="56"/>
      <c r="X131" s="55"/>
      <c r="Y131" s="40" t="s">
        <v>105</v>
      </c>
      <c r="Z131" s="41">
        <f>IF(C60="1-3 km",IF(C64="20-40 (dorp)",1,0),0)</f>
        <v>0</v>
      </c>
    </row>
    <row r="132" spans="20:28" ht="13.5" hidden="1">
      <c r="T132" s="30"/>
      <c r="W132" s="32"/>
      <c r="X132" s="49"/>
      <c r="Y132" s="50" t="s">
        <v>262</v>
      </c>
      <c r="Z132" s="69"/>
      <c r="AA132" s="5"/>
      <c r="AB132" s="183"/>
    </row>
    <row r="133" spans="20:28" ht="13.5" hidden="1">
      <c r="T133" s="30"/>
      <c r="U133" s="37"/>
      <c r="V133" s="68" t="s">
        <v>214</v>
      </c>
      <c r="W133" s="54">
        <f>IF(C60="&gt; 3 km",IF(C64="&gt; 60 (hoogstedelijk)",1,0),0)</f>
        <v>0</v>
      </c>
      <c r="X133" s="33"/>
      <c r="Y133" s="14"/>
      <c r="Z133" s="32"/>
      <c r="AA133" s="182"/>
      <c r="AB133" s="184"/>
    </row>
    <row r="134" spans="20:26" ht="13.5" hidden="1">
      <c r="T134" s="30"/>
      <c r="U134" s="48" t="s">
        <v>41</v>
      </c>
      <c r="V134" s="53" t="s">
        <v>264</v>
      </c>
      <c r="W134" s="56"/>
      <c r="X134" s="40"/>
      <c r="Y134" s="40" t="s">
        <v>214</v>
      </c>
      <c r="Z134" s="41">
        <f>IF(C60="&gt; 3 km",IF(C64="20-40 (dorp)",1,IF(C64="40-60 (stedelijk)",1,0)),0)</f>
        <v>0</v>
      </c>
    </row>
    <row r="135" spans="20:26" ht="13.5" hidden="1">
      <c r="T135" s="30"/>
      <c r="W135" s="32"/>
      <c r="X135" s="50"/>
      <c r="Y135" s="50" t="s">
        <v>266</v>
      </c>
      <c r="Z135" s="69"/>
    </row>
    <row r="136" spans="20:26" ht="13.5" hidden="1">
      <c r="T136" s="30"/>
      <c r="U136" s="37"/>
      <c r="V136" s="68" t="s">
        <v>111</v>
      </c>
      <c r="W136" s="36">
        <f>IF(C64="niet bekend",1,0)</f>
        <v>0</v>
      </c>
      <c r="X136" s="33"/>
      <c r="Y136" s="14"/>
      <c r="Z136" s="32"/>
    </row>
    <row r="137" spans="20:26" ht="14.25" hidden="1" thickBot="1">
      <c r="T137" s="76"/>
      <c r="U137" s="60" t="s">
        <v>83</v>
      </c>
      <c r="V137" s="61"/>
      <c r="W137" s="62">
        <f>IF(SUM(W127:W136)&gt;=1,1,0)</f>
        <v>0</v>
      </c>
      <c r="X137" s="60" t="s">
        <v>83</v>
      </c>
      <c r="Y137" s="61"/>
      <c r="Z137" s="188">
        <f>IF(Z127=1,0.5,IF(SUM(Z129:Z136)&gt;=1,1,0))</f>
        <v>0</v>
      </c>
    </row>
    <row r="138" spans="20:27" ht="14.25" hidden="1" thickBot="1">
      <c r="T138" s="84"/>
      <c r="U138" s="85" t="s">
        <v>112</v>
      </c>
      <c r="V138" s="85"/>
      <c r="W138" s="84"/>
      <c r="X138" s="85"/>
      <c r="Y138" s="85"/>
      <c r="Z138" s="62">
        <f>IF((Z38+Z42+Z53+Z66+Z69+Z77+Z80+Z84+Z96+Z115+Z126+Z137)&gt;=1,2,0)</f>
        <v>0</v>
      </c>
      <c r="AA138" s="14"/>
    </row>
    <row r="139" ht="13.5" hidden="1"/>
    <row r="140" ht="13.5" hidden="1"/>
    <row r="141" ht="13.5" hidden="1"/>
    <row r="142" ht="13.5" hidden="1"/>
    <row r="143" spans="6:26" ht="13.5" hidden="1">
      <c r="F143" s="6"/>
      <c r="I143" s="6"/>
      <c r="L143" s="6"/>
      <c r="M143" s="6"/>
      <c r="P143" s="6"/>
      <c r="S143" s="6"/>
      <c r="W143" s="6"/>
      <c r="Z143" s="6"/>
    </row>
    <row r="144" spans="6:26" ht="13.5" hidden="1">
      <c r="F144" s="6"/>
      <c r="I144" s="6"/>
      <c r="L144" s="6"/>
      <c r="M144" s="6"/>
      <c r="P144" s="6"/>
      <c r="S144" s="6"/>
      <c r="W144" s="6"/>
      <c r="Z144" s="6"/>
    </row>
    <row r="145" ht="13.5" hidden="1"/>
    <row r="146" ht="13.5" hidden="1"/>
    <row r="147" spans="6:27" ht="13.5" hidden="1">
      <c r="F147" s="190" t="s">
        <v>205</v>
      </c>
      <c r="G147" s="191"/>
      <c r="H147" s="73"/>
      <c r="I147" s="191"/>
      <c r="J147" s="73"/>
      <c r="K147" s="73"/>
      <c r="L147" s="192"/>
      <c r="M147" s="190" t="s">
        <v>205</v>
      </c>
      <c r="N147" s="73"/>
      <c r="O147" s="73"/>
      <c r="P147" s="192"/>
      <c r="Q147" s="73"/>
      <c r="R147" s="73"/>
      <c r="S147" s="192"/>
      <c r="T147" s="190" t="s">
        <v>205</v>
      </c>
      <c r="U147" s="191"/>
      <c r="V147" s="73"/>
      <c r="W147" s="192"/>
      <c r="X147" s="73"/>
      <c r="Y147" s="73"/>
      <c r="Z147" s="192"/>
      <c r="AA147" s="73"/>
    </row>
    <row r="148" spans="6:27" ht="15" hidden="1">
      <c r="F148" s="94" t="s">
        <v>230</v>
      </c>
      <c r="G148" s="95"/>
      <c r="H148" s="136"/>
      <c r="I148" s="95"/>
      <c r="J148" s="136"/>
      <c r="K148" s="136"/>
      <c r="L148" s="137"/>
      <c r="M148" s="94" t="s">
        <v>230</v>
      </c>
      <c r="N148" s="136"/>
      <c r="O148" s="136"/>
      <c r="P148" s="137"/>
      <c r="Q148" s="136"/>
      <c r="R148" s="136"/>
      <c r="S148" s="137"/>
      <c r="T148" s="91" t="s">
        <v>231</v>
      </c>
      <c r="U148" s="97"/>
      <c r="V148" s="92"/>
      <c r="W148" s="93"/>
      <c r="X148" s="92"/>
      <c r="Y148" s="92"/>
      <c r="Z148" s="93"/>
      <c r="AA148" s="92"/>
    </row>
    <row r="149" spans="6:27" ht="13.5" hidden="1">
      <c r="F149" s="94" t="s">
        <v>229</v>
      </c>
      <c r="G149" s="95"/>
      <c r="H149" s="136"/>
      <c r="I149" s="95"/>
      <c r="J149" s="136"/>
      <c r="K149" s="136"/>
      <c r="L149" s="137"/>
      <c r="M149" s="94" t="s">
        <v>229</v>
      </c>
      <c r="N149" s="136"/>
      <c r="O149" s="136"/>
      <c r="P149" s="137"/>
      <c r="Q149" s="136"/>
      <c r="R149" s="136"/>
      <c r="S149" s="137"/>
      <c r="T149" s="91" t="s">
        <v>228</v>
      </c>
      <c r="U149" s="98"/>
      <c r="V149" s="92"/>
      <c r="W149" s="93"/>
      <c r="X149" s="92"/>
      <c r="Y149" s="92"/>
      <c r="Z149" s="93"/>
      <c r="AA149" s="92"/>
    </row>
    <row r="150" spans="6:27" ht="13.5" hidden="1">
      <c r="F150" s="94" t="s">
        <v>306</v>
      </c>
      <c r="G150" s="136"/>
      <c r="H150" s="136"/>
      <c r="I150" s="137"/>
      <c r="J150" s="136"/>
      <c r="K150" s="136"/>
      <c r="L150" s="137"/>
      <c r="M150" s="94" t="s">
        <v>224</v>
      </c>
      <c r="N150" s="136"/>
      <c r="O150" s="136"/>
      <c r="P150" s="137"/>
      <c r="Q150" s="136"/>
      <c r="R150" s="136"/>
      <c r="S150" s="137"/>
      <c r="T150" s="94" t="s">
        <v>224</v>
      </c>
      <c r="U150" s="95"/>
      <c r="V150" s="136"/>
      <c r="W150" s="137"/>
      <c r="X150" s="136"/>
      <c r="Y150" s="136"/>
      <c r="Z150" s="137"/>
      <c r="AA150" s="136"/>
    </row>
    <row r="151" spans="6:27" ht="13.5" hidden="1">
      <c r="F151" s="94" t="s">
        <v>225</v>
      </c>
      <c r="G151" s="95"/>
      <c r="H151" s="136"/>
      <c r="I151" s="95"/>
      <c r="J151" s="136"/>
      <c r="K151" s="136"/>
      <c r="L151" s="137"/>
      <c r="M151" s="94" t="s">
        <v>225</v>
      </c>
      <c r="N151" s="136"/>
      <c r="O151" s="136"/>
      <c r="P151" s="137"/>
      <c r="Q151" s="136"/>
      <c r="R151" s="136"/>
      <c r="S151" s="137"/>
      <c r="T151" s="94" t="s">
        <v>225</v>
      </c>
      <c r="U151" s="95"/>
      <c r="V151" s="136"/>
      <c r="W151" s="137"/>
      <c r="X151" s="136"/>
      <c r="Y151" s="136"/>
      <c r="Z151" s="137"/>
      <c r="AA151" s="136"/>
    </row>
    <row r="152" spans="6:27" ht="13.5" hidden="1">
      <c r="F152" s="94" t="s">
        <v>244</v>
      </c>
      <c r="G152" s="95"/>
      <c r="H152" s="136"/>
      <c r="I152" s="95"/>
      <c r="J152" s="136"/>
      <c r="K152" s="136"/>
      <c r="L152" s="137"/>
      <c r="M152" s="94" t="s">
        <v>238</v>
      </c>
      <c r="N152" s="136"/>
      <c r="O152" s="136"/>
      <c r="P152" s="137"/>
      <c r="Q152" s="136"/>
      <c r="R152" s="136"/>
      <c r="S152" s="137"/>
      <c r="T152" s="94" t="s">
        <v>239</v>
      </c>
      <c r="U152" s="95"/>
      <c r="V152" s="136"/>
      <c r="W152" s="137"/>
      <c r="X152" s="136"/>
      <c r="Y152" s="136"/>
      <c r="Z152" s="137"/>
      <c r="AA152" s="136"/>
    </row>
    <row r="153" spans="6:27" ht="13.5" hidden="1">
      <c r="F153" s="99" t="s">
        <v>226</v>
      </c>
      <c r="G153" s="100"/>
      <c r="H153" s="136"/>
      <c r="I153" s="100"/>
      <c r="J153" s="136"/>
      <c r="K153" s="136"/>
      <c r="L153" s="137"/>
      <c r="M153" s="99" t="s">
        <v>226</v>
      </c>
      <c r="N153" s="136"/>
      <c r="O153" s="136"/>
      <c r="P153" s="137"/>
      <c r="Q153" s="136"/>
      <c r="R153" s="136"/>
      <c r="S153" s="137"/>
      <c r="T153" s="99" t="s">
        <v>226</v>
      </c>
      <c r="U153" s="100"/>
      <c r="V153" s="136"/>
      <c r="W153" s="137"/>
      <c r="X153" s="136"/>
      <c r="Y153" s="136"/>
      <c r="Z153" s="137"/>
      <c r="AA153" s="136"/>
    </row>
    <row r="154" spans="6:27" ht="13.5" hidden="1">
      <c r="F154" s="148" t="s">
        <v>206</v>
      </c>
      <c r="G154" s="102"/>
      <c r="H154" s="92"/>
      <c r="I154" s="102"/>
      <c r="J154" s="92"/>
      <c r="K154" s="92"/>
      <c r="L154" s="93"/>
      <c r="M154" s="150" t="s">
        <v>207</v>
      </c>
      <c r="N154" s="92"/>
      <c r="O154" s="92"/>
      <c r="P154" s="93"/>
      <c r="Q154" s="92"/>
      <c r="R154" s="92"/>
      <c r="S154" s="93"/>
      <c r="T154" s="150" t="s">
        <v>207</v>
      </c>
      <c r="U154" s="102"/>
      <c r="V154" s="92"/>
      <c r="W154" s="93"/>
      <c r="X154" s="92"/>
      <c r="Y154" s="92"/>
      <c r="Z154" s="93"/>
      <c r="AA154" s="92"/>
    </row>
    <row r="155" spans="6:27" ht="13.5" hidden="1">
      <c r="F155" s="101" t="s">
        <v>220</v>
      </c>
      <c r="G155" s="102"/>
      <c r="H155" s="92"/>
      <c r="I155" s="102"/>
      <c r="J155" s="92"/>
      <c r="K155" s="92"/>
      <c r="L155" s="93"/>
      <c r="M155" s="101" t="s">
        <v>91</v>
      </c>
      <c r="N155" s="92"/>
      <c r="O155" s="92"/>
      <c r="P155" s="93"/>
      <c r="Q155" s="92"/>
      <c r="R155" s="92"/>
      <c r="S155" s="93"/>
      <c r="T155" s="101" t="s">
        <v>91</v>
      </c>
      <c r="U155" s="102"/>
      <c r="V155" s="92"/>
      <c r="W155" s="93"/>
      <c r="X155" s="92"/>
      <c r="Y155" s="92"/>
      <c r="Z155" s="93"/>
      <c r="AA155" s="92"/>
    </row>
    <row r="156" spans="6:27" ht="13.5" hidden="1">
      <c r="F156" s="101" t="s">
        <v>221</v>
      </c>
      <c r="G156" s="102"/>
      <c r="H156" s="92"/>
      <c r="I156" s="102"/>
      <c r="J156" s="92"/>
      <c r="K156" s="92"/>
      <c r="L156" s="93"/>
      <c r="M156" s="101" t="s">
        <v>92</v>
      </c>
      <c r="N156" s="92"/>
      <c r="O156" s="92"/>
      <c r="P156" s="93"/>
      <c r="Q156" s="92"/>
      <c r="R156" s="92"/>
      <c r="S156" s="93"/>
      <c r="T156" s="101" t="s">
        <v>92</v>
      </c>
      <c r="U156" s="102"/>
      <c r="V156" s="92"/>
      <c r="W156" s="93"/>
      <c r="X156" s="92"/>
      <c r="Y156" s="92"/>
      <c r="Z156" s="93"/>
      <c r="AA156" s="92"/>
    </row>
    <row r="157" spans="6:27" ht="13.5" hidden="1">
      <c r="F157" s="91" t="s">
        <v>153</v>
      </c>
      <c r="G157" s="102"/>
      <c r="H157" s="92"/>
      <c r="I157" s="102"/>
      <c r="J157" s="92"/>
      <c r="K157" s="92"/>
      <c r="L157" s="93"/>
      <c r="M157" s="91" t="s">
        <v>153</v>
      </c>
      <c r="N157" s="92"/>
      <c r="O157" s="92"/>
      <c r="P157" s="93"/>
      <c r="Q157" s="92"/>
      <c r="R157" s="92"/>
      <c r="S157" s="93"/>
      <c r="T157" s="91" t="s">
        <v>153</v>
      </c>
      <c r="U157" s="102"/>
      <c r="V157" s="92"/>
      <c r="W157" s="93"/>
      <c r="X157" s="92"/>
      <c r="Y157" s="92"/>
      <c r="Z157" s="93"/>
      <c r="AA157" s="92"/>
    </row>
    <row r="158" spans="6:27" ht="13.5" hidden="1">
      <c r="F158" s="99" t="s">
        <v>101</v>
      </c>
      <c r="G158" s="103"/>
      <c r="H158" s="136"/>
      <c r="I158" s="103"/>
      <c r="J158" s="136"/>
      <c r="K158" s="136"/>
      <c r="L158" s="137"/>
      <c r="M158" s="99" t="s">
        <v>101</v>
      </c>
      <c r="N158" s="136"/>
      <c r="O158" s="136"/>
      <c r="P158" s="137"/>
      <c r="Q158" s="136"/>
      <c r="R158" s="136"/>
      <c r="S158" s="137"/>
      <c r="T158" s="99" t="s">
        <v>101</v>
      </c>
      <c r="U158" s="103"/>
      <c r="V158" s="136"/>
      <c r="W158" s="137"/>
      <c r="X158" s="136"/>
      <c r="Y158" s="136"/>
      <c r="Z158" s="137"/>
      <c r="AA158" s="136"/>
    </row>
    <row r="159" spans="6:27" ht="13.5" hidden="1">
      <c r="F159" s="94" t="s">
        <v>154</v>
      </c>
      <c r="G159" s="103"/>
      <c r="H159" s="136"/>
      <c r="I159" s="103"/>
      <c r="J159" s="136"/>
      <c r="K159" s="136"/>
      <c r="L159" s="137"/>
      <c r="M159" s="94" t="s">
        <v>284</v>
      </c>
      <c r="N159" s="136"/>
      <c r="O159" s="136"/>
      <c r="P159" s="137"/>
      <c r="Q159" s="136"/>
      <c r="R159" s="136"/>
      <c r="S159" s="137"/>
      <c r="T159" s="94" t="s">
        <v>154</v>
      </c>
      <c r="U159" s="103"/>
      <c r="V159" s="136"/>
      <c r="W159" s="137"/>
      <c r="X159" s="136"/>
      <c r="Y159" s="136"/>
      <c r="Z159" s="137"/>
      <c r="AA159" s="136"/>
    </row>
    <row r="160" spans="6:27" ht="13.5" hidden="1">
      <c r="F160" s="94" t="s">
        <v>150</v>
      </c>
      <c r="G160" s="103"/>
      <c r="H160" s="136"/>
      <c r="I160" s="103"/>
      <c r="J160" s="136"/>
      <c r="K160" s="136"/>
      <c r="L160" s="137"/>
      <c r="M160" s="94" t="s">
        <v>150</v>
      </c>
      <c r="N160" s="136"/>
      <c r="O160" s="136"/>
      <c r="P160" s="137"/>
      <c r="Q160" s="136"/>
      <c r="R160" s="136"/>
      <c r="S160" s="137"/>
      <c r="T160" s="94" t="s">
        <v>150</v>
      </c>
      <c r="U160" s="103"/>
      <c r="V160" s="136"/>
      <c r="W160" s="137"/>
      <c r="X160" s="136"/>
      <c r="Y160" s="136"/>
      <c r="Z160" s="137"/>
      <c r="AA160" s="136"/>
    </row>
    <row r="161" spans="6:27" ht="13.5" hidden="1">
      <c r="F161" s="94" t="s">
        <v>155</v>
      </c>
      <c r="G161" s="103"/>
      <c r="H161" s="136"/>
      <c r="I161" s="103"/>
      <c r="J161" s="136"/>
      <c r="K161" s="136"/>
      <c r="L161" s="137"/>
      <c r="M161" s="94" t="s">
        <v>155</v>
      </c>
      <c r="N161" s="136"/>
      <c r="O161" s="136"/>
      <c r="P161" s="137"/>
      <c r="Q161" s="136"/>
      <c r="R161" s="136"/>
      <c r="S161" s="137"/>
      <c r="T161" s="94" t="s">
        <v>155</v>
      </c>
      <c r="U161" s="103"/>
      <c r="V161" s="136"/>
      <c r="W161" s="137"/>
      <c r="X161" s="136"/>
      <c r="Y161" s="136"/>
      <c r="Z161" s="137"/>
      <c r="AA161" s="136"/>
    </row>
    <row r="162" spans="6:27" ht="13.5" hidden="1">
      <c r="F162" s="94" t="s">
        <v>93</v>
      </c>
      <c r="G162" s="95"/>
      <c r="H162" s="136"/>
      <c r="I162" s="95"/>
      <c r="J162" s="136"/>
      <c r="K162" s="136"/>
      <c r="L162" s="137"/>
      <c r="M162" s="94" t="s">
        <v>93</v>
      </c>
      <c r="N162" s="136"/>
      <c r="O162" s="136"/>
      <c r="P162" s="137"/>
      <c r="Q162" s="136"/>
      <c r="R162" s="136"/>
      <c r="S162" s="137"/>
      <c r="T162" s="94" t="s">
        <v>93</v>
      </c>
      <c r="U162" s="95"/>
      <c r="V162" s="136"/>
      <c r="W162" s="137"/>
      <c r="X162" s="136"/>
      <c r="Y162" s="136"/>
      <c r="Z162" s="137"/>
      <c r="AA162" s="136"/>
    </row>
    <row r="163" spans="6:27" ht="13.5" hidden="1">
      <c r="F163" s="94" t="s">
        <v>94</v>
      </c>
      <c r="G163" s="95"/>
      <c r="H163" s="136"/>
      <c r="I163" s="95"/>
      <c r="J163" s="136"/>
      <c r="K163" s="136"/>
      <c r="L163" s="137"/>
      <c r="M163" s="94" t="s">
        <v>94</v>
      </c>
      <c r="N163" s="136"/>
      <c r="O163" s="136"/>
      <c r="P163" s="137"/>
      <c r="Q163" s="136"/>
      <c r="R163" s="136"/>
      <c r="S163" s="137"/>
      <c r="T163" s="94" t="s">
        <v>94</v>
      </c>
      <c r="U163" s="95"/>
      <c r="V163" s="136"/>
      <c r="W163" s="137"/>
      <c r="X163" s="136"/>
      <c r="Y163" s="136"/>
      <c r="Z163" s="137"/>
      <c r="AA163" s="136"/>
    </row>
    <row r="164" spans="6:27" ht="13.5" hidden="1">
      <c r="F164" s="94" t="s">
        <v>95</v>
      </c>
      <c r="G164" s="95"/>
      <c r="H164" s="136"/>
      <c r="I164" s="95"/>
      <c r="J164" s="136"/>
      <c r="K164" s="136"/>
      <c r="L164" s="137"/>
      <c r="M164" s="94" t="s">
        <v>95</v>
      </c>
      <c r="N164" s="136"/>
      <c r="O164" s="136"/>
      <c r="P164" s="137"/>
      <c r="Q164" s="136"/>
      <c r="R164" s="136"/>
      <c r="S164" s="137"/>
      <c r="T164" s="94" t="s">
        <v>95</v>
      </c>
      <c r="U164" s="95"/>
      <c r="V164" s="136"/>
      <c r="W164" s="137"/>
      <c r="X164" s="136"/>
      <c r="Y164" s="136"/>
      <c r="Z164" s="137"/>
      <c r="AA164" s="136"/>
    </row>
    <row r="165" spans="6:27" ht="13.5" hidden="1">
      <c r="F165" s="94" t="s">
        <v>96</v>
      </c>
      <c r="G165" s="95"/>
      <c r="H165" s="136"/>
      <c r="I165" s="95"/>
      <c r="J165" s="136"/>
      <c r="K165" s="136"/>
      <c r="L165" s="137"/>
      <c r="M165" s="94" t="s">
        <v>96</v>
      </c>
      <c r="N165" s="136"/>
      <c r="O165" s="136"/>
      <c r="P165" s="137"/>
      <c r="Q165" s="136"/>
      <c r="R165" s="136"/>
      <c r="S165" s="137"/>
      <c r="T165" s="94" t="s">
        <v>96</v>
      </c>
      <c r="U165" s="95"/>
      <c r="V165" s="136"/>
      <c r="W165" s="137"/>
      <c r="X165" s="136"/>
      <c r="Y165" s="136"/>
      <c r="Z165" s="137"/>
      <c r="AA165" s="136"/>
    </row>
    <row r="166" spans="6:27" ht="13.5" hidden="1">
      <c r="F166" s="148" t="s">
        <v>207</v>
      </c>
      <c r="G166" s="102"/>
      <c r="H166" s="92"/>
      <c r="I166" s="102"/>
      <c r="J166" s="92"/>
      <c r="K166" s="92"/>
      <c r="L166" s="93"/>
      <c r="M166" s="148" t="s">
        <v>207</v>
      </c>
      <c r="N166" s="92"/>
      <c r="O166" s="92"/>
      <c r="P166" s="93"/>
      <c r="Q166" s="92"/>
      <c r="R166" s="92"/>
      <c r="S166" s="93"/>
      <c r="T166" s="148" t="s">
        <v>207</v>
      </c>
      <c r="U166" s="102"/>
      <c r="V166" s="92"/>
      <c r="W166" s="93"/>
      <c r="X166" s="92"/>
      <c r="Y166" s="92"/>
      <c r="Z166" s="93"/>
      <c r="AA166" s="92"/>
    </row>
    <row r="167" spans="6:27" ht="13.5" hidden="1">
      <c r="F167" s="94" t="s">
        <v>307</v>
      </c>
      <c r="G167" s="103"/>
      <c r="H167" s="136"/>
      <c r="I167" s="103"/>
      <c r="J167" s="136"/>
      <c r="K167" s="136"/>
      <c r="L167" s="137"/>
      <c r="M167" s="94" t="s">
        <v>232</v>
      </c>
      <c r="N167" s="136"/>
      <c r="O167" s="136"/>
      <c r="P167" s="137"/>
      <c r="Q167" s="136"/>
      <c r="R167" s="136"/>
      <c r="S167" s="137"/>
      <c r="T167" s="94" t="s">
        <v>232</v>
      </c>
      <c r="U167" s="103"/>
      <c r="V167" s="136"/>
      <c r="W167" s="137"/>
      <c r="X167" s="136"/>
      <c r="Y167" s="136"/>
      <c r="Z167" s="137"/>
      <c r="AA167" s="136"/>
    </row>
    <row r="168" spans="6:27" ht="13.5" hidden="1">
      <c r="F168" s="148" t="s">
        <v>207</v>
      </c>
      <c r="G168" s="102"/>
      <c r="H168" s="92"/>
      <c r="I168" s="102"/>
      <c r="J168" s="92"/>
      <c r="K168" s="92"/>
      <c r="L168" s="93"/>
      <c r="M168" s="150" t="s">
        <v>207</v>
      </c>
      <c r="N168" s="92"/>
      <c r="O168" s="92"/>
      <c r="P168" s="93"/>
      <c r="Q168" s="92"/>
      <c r="R168" s="92"/>
      <c r="S168" s="93"/>
      <c r="T168" s="150" t="s">
        <v>207</v>
      </c>
      <c r="U168" s="102"/>
      <c r="V168" s="92"/>
      <c r="W168" s="93"/>
      <c r="X168" s="92"/>
      <c r="Y168" s="92"/>
      <c r="Z168" s="93"/>
      <c r="AA168" s="92"/>
    </row>
    <row r="169" spans="6:27" ht="13.5" hidden="1">
      <c r="F169" s="99" t="s">
        <v>227</v>
      </c>
      <c r="G169" s="103"/>
      <c r="H169" s="136"/>
      <c r="I169" s="103"/>
      <c r="J169" s="136"/>
      <c r="K169" s="136"/>
      <c r="L169" s="137"/>
      <c r="M169" s="99" t="s">
        <v>227</v>
      </c>
      <c r="N169" s="136"/>
      <c r="O169" s="136"/>
      <c r="P169" s="137"/>
      <c r="Q169" s="136"/>
      <c r="R169" s="136"/>
      <c r="S169" s="137"/>
      <c r="T169" s="99" t="s">
        <v>227</v>
      </c>
      <c r="U169" s="103"/>
      <c r="V169" s="136"/>
      <c r="W169" s="137"/>
      <c r="X169" s="136"/>
      <c r="Y169" s="136"/>
      <c r="Z169" s="137"/>
      <c r="AA169" s="136"/>
    </row>
    <row r="170" spans="6:27" ht="13.5" hidden="1">
      <c r="F170" s="94" t="s">
        <v>267</v>
      </c>
      <c r="G170" s="103"/>
      <c r="H170" s="136"/>
      <c r="I170" s="103"/>
      <c r="J170" s="136"/>
      <c r="K170" s="136"/>
      <c r="L170" s="137"/>
      <c r="M170" s="94" t="s">
        <v>267</v>
      </c>
      <c r="N170" s="136"/>
      <c r="O170" s="136"/>
      <c r="P170" s="137"/>
      <c r="Q170" s="136"/>
      <c r="R170" s="136"/>
      <c r="S170" s="137"/>
      <c r="T170" s="94" t="s">
        <v>267</v>
      </c>
      <c r="U170" s="103"/>
      <c r="V170" s="136"/>
      <c r="W170" s="137"/>
      <c r="X170" s="136"/>
      <c r="Y170" s="136"/>
      <c r="Z170" s="137"/>
      <c r="AA170" s="136"/>
    </row>
    <row r="171" spans="6:27" ht="13.5" hidden="1">
      <c r="F171" s="99" t="s">
        <v>222</v>
      </c>
      <c r="G171" s="103"/>
      <c r="H171" s="136"/>
      <c r="I171" s="103"/>
      <c r="J171" s="136"/>
      <c r="K171" s="136"/>
      <c r="L171" s="137"/>
      <c r="M171" s="99" t="s">
        <v>222</v>
      </c>
      <c r="N171" s="136"/>
      <c r="O171" s="136"/>
      <c r="P171" s="137"/>
      <c r="Q171" s="136"/>
      <c r="R171" s="136"/>
      <c r="S171" s="137"/>
      <c r="T171" s="99" t="s">
        <v>222</v>
      </c>
      <c r="U171" s="103"/>
      <c r="V171" s="136"/>
      <c r="W171" s="137"/>
      <c r="X171" s="136"/>
      <c r="Y171" s="136"/>
      <c r="Z171" s="137"/>
      <c r="AA171" s="136"/>
    </row>
    <row r="172" spans="6:27" ht="13.5" hidden="1">
      <c r="F172" s="99" t="s">
        <v>223</v>
      </c>
      <c r="G172" s="103"/>
      <c r="H172" s="136"/>
      <c r="I172" s="103"/>
      <c r="J172" s="136"/>
      <c r="K172" s="136"/>
      <c r="L172" s="137"/>
      <c r="M172" s="99" t="s">
        <v>223</v>
      </c>
      <c r="N172" s="136"/>
      <c r="O172" s="136"/>
      <c r="P172" s="137"/>
      <c r="Q172" s="136"/>
      <c r="R172" s="136"/>
      <c r="S172" s="137"/>
      <c r="T172" s="99" t="s">
        <v>223</v>
      </c>
      <c r="U172" s="103"/>
      <c r="V172" s="136"/>
      <c r="W172" s="137"/>
      <c r="X172" s="136"/>
      <c r="Y172" s="136"/>
      <c r="Z172" s="137"/>
      <c r="AA172" s="136"/>
    </row>
    <row r="173" spans="6:27" ht="13.5" hidden="1">
      <c r="F173" s="148" t="s">
        <v>207</v>
      </c>
      <c r="G173" s="102"/>
      <c r="H173" s="92"/>
      <c r="I173" s="102"/>
      <c r="J173" s="92"/>
      <c r="K173" s="92"/>
      <c r="L173" s="93"/>
      <c r="M173" s="148" t="s">
        <v>207</v>
      </c>
      <c r="N173" s="92"/>
      <c r="O173" s="92"/>
      <c r="P173" s="93"/>
      <c r="Q173" s="92"/>
      <c r="R173" s="92"/>
      <c r="S173" s="93"/>
      <c r="T173" s="148" t="s">
        <v>207</v>
      </c>
      <c r="U173" s="102"/>
      <c r="V173" s="92"/>
      <c r="W173" s="93"/>
      <c r="X173" s="92"/>
      <c r="Y173" s="92"/>
      <c r="Z173" s="93"/>
      <c r="AA173" s="92"/>
    </row>
    <row r="174" spans="6:27" ht="13.5" hidden="1">
      <c r="F174" s="148" t="s">
        <v>207</v>
      </c>
      <c r="G174" s="102"/>
      <c r="H174" s="92"/>
      <c r="I174" s="102"/>
      <c r="J174" s="92"/>
      <c r="K174" s="92"/>
      <c r="L174" s="93"/>
      <c r="M174" s="148" t="s">
        <v>207</v>
      </c>
      <c r="N174" s="92"/>
      <c r="O174" s="92"/>
      <c r="P174" s="93"/>
      <c r="Q174" s="92"/>
      <c r="R174" s="92"/>
      <c r="S174" s="93"/>
      <c r="T174" s="148" t="s">
        <v>207</v>
      </c>
      <c r="U174" s="102"/>
      <c r="V174" s="92"/>
      <c r="W174" s="93"/>
      <c r="X174" s="92"/>
      <c r="Y174" s="92"/>
      <c r="Z174" s="93"/>
      <c r="AA174" s="92"/>
    </row>
    <row r="175" spans="6:27" ht="13.5" hidden="1">
      <c r="F175" s="94" t="s">
        <v>242</v>
      </c>
      <c r="G175" s="103"/>
      <c r="H175" s="136"/>
      <c r="I175" s="103"/>
      <c r="J175" s="136"/>
      <c r="K175" s="136"/>
      <c r="L175" s="158"/>
      <c r="M175" s="94" t="s">
        <v>242</v>
      </c>
      <c r="N175" s="136"/>
      <c r="O175" s="136"/>
      <c r="P175" s="137"/>
      <c r="Q175" s="136"/>
      <c r="R175" s="136"/>
      <c r="S175" s="137"/>
      <c r="T175" s="94" t="s">
        <v>290</v>
      </c>
      <c r="U175" s="103"/>
      <c r="V175" s="136"/>
      <c r="W175" s="137"/>
      <c r="X175" s="136"/>
      <c r="Y175" s="136"/>
      <c r="Z175" s="137"/>
      <c r="AA175" s="136"/>
    </row>
    <row r="176" spans="6:27" ht="13.5" hidden="1">
      <c r="F176" s="94" t="s">
        <v>309</v>
      </c>
      <c r="G176" s="103"/>
      <c r="H176" s="136"/>
      <c r="I176" s="103"/>
      <c r="J176" s="136"/>
      <c r="K176" s="136"/>
      <c r="L176" s="137"/>
      <c r="M176" s="94" t="s">
        <v>309</v>
      </c>
      <c r="N176" s="136"/>
      <c r="O176" s="136"/>
      <c r="P176" s="137"/>
      <c r="Q176" s="136"/>
      <c r="R176" s="136"/>
      <c r="S176" s="137"/>
      <c r="T176" s="94" t="s">
        <v>309</v>
      </c>
      <c r="U176" s="103"/>
      <c r="V176" s="136"/>
      <c r="W176" s="137"/>
      <c r="X176" s="136"/>
      <c r="Y176" s="136"/>
      <c r="Z176" s="137"/>
      <c r="AA176" s="136"/>
    </row>
    <row r="177" spans="6:27" ht="13.5" hidden="1">
      <c r="F177" s="104"/>
      <c r="G177" s="105"/>
      <c r="I177" s="7"/>
      <c r="M177" s="148" t="s">
        <v>207</v>
      </c>
      <c r="N177" s="92"/>
      <c r="O177" s="92"/>
      <c r="P177" s="93"/>
      <c r="Q177" s="92"/>
      <c r="R177" s="92"/>
      <c r="S177" s="93"/>
      <c r="T177" s="148" t="s">
        <v>207</v>
      </c>
      <c r="U177" s="91"/>
      <c r="V177" s="92"/>
      <c r="W177" s="93"/>
      <c r="X177" s="92"/>
      <c r="Y177" s="92"/>
      <c r="Z177" s="93"/>
      <c r="AA177" s="92"/>
    </row>
    <row r="178" spans="6:27" ht="13.5" hidden="1">
      <c r="F178" s="106"/>
      <c r="G178" s="106"/>
      <c r="I178" s="7"/>
      <c r="M178" s="91" t="s">
        <v>271</v>
      </c>
      <c r="N178" s="92"/>
      <c r="O178" s="92"/>
      <c r="P178" s="93"/>
      <c r="Q178" s="92"/>
      <c r="R178" s="92"/>
      <c r="S178" s="93"/>
      <c r="T178" s="91" t="s">
        <v>271</v>
      </c>
      <c r="U178" s="91"/>
      <c r="V178" s="92"/>
      <c r="W178" s="93"/>
      <c r="X178" s="92"/>
      <c r="Y178" s="92"/>
      <c r="Z178" s="93"/>
      <c r="AA178" s="92"/>
    </row>
    <row r="179" spans="6:27" ht="13.5" hidden="1">
      <c r="F179" s="106"/>
      <c r="G179" s="106"/>
      <c r="I179" s="7"/>
      <c r="M179" s="91" t="s">
        <v>274</v>
      </c>
      <c r="N179" s="92"/>
      <c r="O179" s="92"/>
      <c r="P179" s="93"/>
      <c r="Q179" s="92"/>
      <c r="R179" s="92"/>
      <c r="S179" s="93"/>
      <c r="T179" s="91" t="s">
        <v>274</v>
      </c>
      <c r="U179" s="91"/>
      <c r="V179" s="92"/>
      <c r="W179" s="93"/>
      <c r="X179" s="92"/>
      <c r="Y179" s="92"/>
      <c r="Z179" s="93"/>
      <c r="AA179" s="92"/>
    </row>
    <row r="180" spans="6:27" ht="13.5" hidden="1">
      <c r="F180" s="106"/>
      <c r="G180" s="106"/>
      <c r="I180" s="7"/>
      <c r="M180" s="91" t="s">
        <v>272</v>
      </c>
      <c r="N180" s="92"/>
      <c r="O180" s="92"/>
      <c r="P180" s="93"/>
      <c r="Q180" s="92"/>
      <c r="R180" s="92"/>
      <c r="S180" s="93"/>
      <c r="T180" s="91" t="s">
        <v>272</v>
      </c>
      <c r="U180" s="91"/>
      <c r="V180" s="92"/>
      <c r="W180" s="93"/>
      <c r="X180" s="92"/>
      <c r="Y180" s="92"/>
      <c r="Z180" s="93"/>
      <c r="AA180" s="92"/>
    </row>
    <row r="181" spans="6:27" ht="13.5" hidden="1">
      <c r="F181" s="96"/>
      <c r="G181" s="107"/>
      <c r="I181" s="7"/>
      <c r="M181" s="94" t="s">
        <v>304</v>
      </c>
      <c r="N181" s="136"/>
      <c r="O181" s="136"/>
      <c r="P181" s="137"/>
      <c r="Q181" s="136"/>
      <c r="R181" s="136"/>
      <c r="S181" s="137"/>
      <c r="T181" s="94" t="s">
        <v>304</v>
      </c>
      <c r="U181" s="94"/>
      <c r="V181" s="136"/>
      <c r="W181" s="137"/>
      <c r="X181" s="136"/>
      <c r="Y181" s="136"/>
      <c r="Z181" s="137"/>
      <c r="AA181" s="136"/>
    </row>
    <row r="182" spans="6:27" ht="13.5" hidden="1">
      <c r="F182" s="96"/>
      <c r="G182" s="108"/>
      <c r="I182" s="7"/>
      <c r="M182" s="99" t="s">
        <v>275</v>
      </c>
      <c r="N182" s="136"/>
      <c r="O182" s="136"/>
      <c r="P182" s="137"/>
      <c r="Q182" s="136"/>
      <c r="R182" s="136"/>
      <c r="S182" s="137"/>
      <c r="T182" s="99" t="s">
        <v>275</v>
      </c>
      <c r="U182" s="94"/>
      <c r="V182" s="136"/>
      <c r="W182" s="137"/>
      <c r="X182" s="136"/>
      <c r="Y182" s="136"/>
      <c r="Z182" s="137"/>
      <c r="AA182" s="136"/>
    </row>
    <row r="183" spans="6:27" ht="13.5" hidden="1">
      <c r="F183" s="96"/>
      <c r="G183" s="108"/>
      <c r="I183" s="7"/>
      <c r="M183" s="109" t="s">
        <v>277</v>
      </c>
      <c r="N183" s="136"/>
      <c r="O183" s="136"/>
      <c r="P183" s="137"/>
      <c r="Q183" s="136"/>
      <c r="R183" s="136"/>
      <c r="S183" s="137"/>
      <c r="T183" s="109" t="s">
        <v>277</v>
      </c>
      <c r="U183" s="94"/>
      <c r="V183" s="136"/>
      <c r="W183" s="137"/>
      <c r="X183" s="136"/>
      <c r="Y183" s="136"/>
      <c r="Z183" s="137"/>
      <c r="AA183" s="136"/>
    </row>
    <row r="184" spans="6:27" ht="13.5" hidden="1">
      <c r="F184" s="96"/>
      <c r="G184" s="108"/>
      <c r="I184" s="7"/>
      <c r="M184" s="94" t="s">
        <v>233</v>
      </c>
      <c r="N184" s="136"/>
      <c r="O184" s="136"/>
      <c r="P184" s="137"/>
      <c r="Q184" s="136"/>
      <c r="R184" s="136"/>
      <c r="S184" s="137"/>
      <c r="T184" s="94" t="s">
        <v>233</v>
      </c>
      <c r="U184" s="94"/>
      <c r="V184" s="136"/>
      <c r="W184" s="137"/>
      <c r="X184" s="136"/>
      <c r="Y184" s="136"/>
      <c r="Z184" s="137"/>
      <c r="AA184" s="136"/>
    </row>
    <row r="185" spans="6:27" ht="13.5" hidden="1">
      <c r="F185" s="96"/>
      <c r="G185" s="108"/>
      <c r="I185" s="108"/>
      <c r="M185" s="109" t="s">
        <v>234</v>
      </c>
      <c r="N185" s="136"/>
      <c r="O185" s="136"/>
      <c r="P185" s="137"/>
      <c r="Q185" s="136"/>
      <c r="R185" s="136"/>
      <c r="S185" s="137"/>
      <c r="T185" s="109" t="s">
        <v>234</v>
      </c>
      <c r="U185" s="109"/>
      <c r="V185" s="136"/>
      <c r="W185" s="137"/>
      <c r="X185" s="136"/>
      <c r="Y185" s="136"/>
      <c r="Z185" s="137"/>
      <c r="AA185" s="136"/>
    </row>
    <row r="186" spans="6:27" ht="13.5" hidden="1">
      <c r="F186" s="96"/>
      <c r="G186" s="108"/>
      <c r="I186" s="108"/>
      <c r="M186" s="109" t="s">
        <v>276</v>
      </c>
      <c r="N186" s="136"/>
      <c r="O186" s="136"/>
      <c r="P186" s="137"/>
      <c r="Q186" s="136"/>
      <c r="R186" s="136"/>
      <c r="S186" s="137"/>
      <c r="T186" s="109" t="s">
        <v>276</v>
      </c>
      <c r="U186" s="109"/>
      <c r="V186" s="136"/>
      <c r="W186" s="137"/>
      <c r="X186" s="136"/>
      <c r="Y186" s="136"/>
      <c r="Z186" s="137"/>
      <c r="AA186" s="136"/>
    </row>
    <row r="187" spans="6:27" ht="13.5" hidden="1">
      <c r="F187" s="96"/>
      <c r="G187" s="108"/>
      <c r="I187" s="108"/>
      <c r="M187" s="109" t="s">
        <v>278</v>
      </c>
      <c r="N187" s="136"/>
      <c r="O187" s="136"/>
      <c r="P187" s="137"/>
      <c r="Q187" s="136"/>
      <c r="R187" s="136"/>
      <c r="S187" s="137"/>
      <c r="T187" s="109" t="s">
        <v>278</v>
      </c>
      <c r="U187" s="109"/>
      <c r="V187" s="136"/>
      <c r="W187" s="137"/>
      <c r="X187" s="136"/>
      <c r="Y187" s="136"/>
      <c r="Z187" s="137"/>
      <c r="AA187" s="136"/>
    </row>
    <row r="188" spans="6:27" ht="13.5" hidden="1">
      <c r="F188" s="96"/>
      <c r="G188" s="108"/>
      <c r="I188" s="108"/>
      <c r="M188" s="109" t="s">
        <v>279</v>
      </c>
      <c r="N188" s="136"/>
      <c r="O188" s="136"/>
      <c r="P188" s="137"/>
      <c r="Q188" s="136"/>
      <c r="R188" s="136"/>
      <c r="S188" s="137"/>
      <c r="T188" s="109" t="s">
        <v>279</v>
      </c>
      <c r="U188" s="109"/>
      <c r="V188" s="136"/>
      <c r="W188" s="137"/>
      <c r="X188" s="136"/>
      <c r="Y188" s="136"/>
      <c r="Z188" s="137"/>
      <c r="AA188" s="136"/>
    </row>
    <row r="189" spans="6:27" ht="13.5" hidden="1">
      <c r="F189" s="96"/>
      <c r="G189" s="108"/>
      <c r="I189" s="108"/>
      <c r="M189" s="109" t="s">
        <v>270</v>
      </c>
      <c r="N189" s="136"/>
      <c r="O189" s="136"/>
      <c r="P189" s="137"/>
      <c r="Q189" s="136"/>
      <c r="R189" s="136"/>
      <c r="S189" s="137"/>
      <c r="T189" s="109" t="s">
        <v>270</v>
      </c>
      <c r="U189" s="109"/>
      <c r="V189" s="136"/>
      <c r="W189" s="137"/>
      <c r="X189" s="136"/>
      <c r="Y189" s="136"/>
      <c r="Z189" s="137"/>
      <c r="AA189" s="136"/>
    </row>
    <row r="190" spans="6:27" ht="13.5" hidden="1">
      <c r="F190" s="96"/>
      <c r="G190" s="108"/>
      <c r="I190" s="108"/>
      <c r="M190" s="109" t="s">
        <v>95</v>
      </c>
      <c r="N190" s="136"/>
      <c r="O190" s="136"/>
      <c r="P190" s="137"/>
      <c r="Q190" s="136"/>
      <c r="R190" s="136"/>
      <c r="S190" s="137"/>
      <c r="T190" s="109" t="s">
        <v>95</v>
      </c>
      <c r="U190" s="109"/>
      <c r="V190" s="136"/>
      <c r="W190" s="137"/>
      <c r="X190" s="136"/>
      <c r="Y190" s="136"/>
      <c r="Z190" s="137"/>
      <c r="AA190" s="136"/>
    </row>
    <row r="191" spans="6:27" ht="13.5" hidden="1">
      <c r="F191" s="96"/>
      <c r="G191" s="108"/>
      <c r="I191" s="108"/>
      <c r="M191" s="109" t="s">
        <v>115</v>
      </c>
      <c r="N191" s="136"/>
      <c r="O191" s="136"/>
      <c r="P191" s="137"/>
      <c r="Q191" s="136"/>
      <c r="R191" s="136"/>
      <c r="S191" s="137"/>
      <c r="T191" s="109" t="s">
        <v>115</v>
      </c>
      <c r="U191" s="109"/>
      <c r="V191" s="136"/>
      <c r="W191" s="137"/>
      <c r="X191" s="136"/>
      <c r="Y191" s="136"/>
      <c r="Z191" s="137"/>
      <c r="AA191" s="136"/>
    </row>
    <row r="192" spans="6:27" ht="13.5" hidden="1">
      <c r="F192" s="96"/>
      <c r="G192" s="108"/>
      <c r="I192" s="108"/>
      <c r="M192" s="109" t="s">
        <v>116</v>
      </c>
      <c r="N192" s="136"/>
      <c r="O192" s="136"/>
      <c r="P192" s="137"/>
      <c r="Q192" s="136"/>
      <c r="R192" s="136"/>
      <c r="S192" s="137"/>
      <c r="T192" s="109" t="s">
        <v>116</v>
      </c>
      <c r="U192" s="109"/>
      <c r="V192" s="136"/>
      <c r="W192" s="137"/>
      <c r="X192" s="136"/>
      <c r="Y192" s="136"/>
      <c r="Z192" s="137"/>
      <c r="AA192" s="136"/>
    </row>
    <row r="193" spans="20:27" ht="13.5" hidden="1">
      <c r="T193" s="148" t="s">
        <v>207</v>
      </c>
      <c r="U193" s="91"/>
      <c r="V193" s="92"/>
      <c r="W193" s="93"/>
      <c r="X193" s="92"/>
      <c r="Y193" s="92"/>
      <c r="Z193" s="93"/>
      <c r="AA193" s="92"/>
    </row>
    <row r="194" spans="6:27" ht="13.5" hidden="1">
      <c r="F194" s="96"/>
      <c r="G194" s="108"/>
      <c r="H194" s="108"/>
      <c r="I194" s="108"/>
      <c r="T194" s="91" t="s">
        <v>273</v>
      </c>
      <c r="U194" s="91"/>
      <c r="V194" s="92"/>
      <c r="W194" s="93"/>
      <c r="X194" s="92"/>
      <c r="Y194" s="92"/>
      <c r="Z194" s="93"/>
      <c r="AA194" s="92"/>
    </row>
    <row r="195" spans="6:27" ht="13.5" hidden="1">
      <c r="F195" s="96"/>
      <c r="G195" s="108"/>
      <c r="H195" s="108"/>
      <c r="I195" s="108"/>
      <c r="K195" s="14"/>
      <c r="L195" s="13"/>
      <c r="M195" s="143"/>
      <c r="N195" s="14"/>
      <c r="O195" s="14"/>
      <c r="P195" s="13"/>
      <c r="Q195" s="14"/>
      <c r="R195" s="14"/>
      <c r="S195" s="13"/>
      <c r="T195" s="91" t="s">
        <v>285</v>
      </c>
      <c r="U195" s="91"/>
      <c r="V195" s="92"/>
      <c r="W195" s="93"/>
      <c r="X195" s="92"/>
      <c r="Y195" s="92"/>
      <c r="Z195" s="93"/>
      <c r="AA195" s="92"/>
    </row>
    <row r="196" spans="6:27" ht="13.5" hidden="1">
      <c r="F196" s="96"/>
      <c r="G196" s="108"/>
      <c r="H196" s="108"/>
      <c r="I196" s="108"/>
      <c r="K196" s="14"/>
      <c r="L196" s="13"/>
      <c r="M196" s="14"/>
      <c r="N196" s="14"/>
      <c r="O196" s="14"/>
      <c r="P196" s="13"/>
      <c r="Q196" s="14"/>
      <c r="R196" s="14"/>
      <c r="S196" s="13"/>
      <c r="T196" s="91" t="s">
        <v>286</v>
      </c>
      <c r="U196" s="91"/>
      <c r="V196" s="92"/>
      <c r="W196" s="93"/>
      <c r="X196" s="92"/>
      <c r="Y196" s="92"/>
      <c r="Z196" s="93"/>
      <c r="AA196" s="92"/>
    </row>
    <row r="197" spans="6:27" ht="13.5" hidden="1">
      <c r="F197" s="96"/>
      <c r="G197" s="108"/>
      <c r="H197" s="108"/>
      <c r="I197" s="108"/>
      <c r="K197" s="14"/>
      <c r="L197" s="13"/>
      <c r="M197" s="14"/>
      <c r="N197" s="14"/>
      <c r="O197" s="14"/>
      <c r="P197" s="13"/>
      <c r="Q197" s="14"/>
      <c r="R197" s="14"/>
      <c r="S197" s="13"/>
      <c r="T197" s="94" t="s">
        <v>281</v>
      </c>
      <c r="U197" s="94"/>
      <c r="V197" s="136"/>
      <c r="W197" s="137"/>
      <c r="X197" s="136"/>
      <c r="Y197" s="136"/>
      <c r="Z197" s="137"/>
      <c r="AA197" s="136"/>
    </row>
    <row r="198" spans="6:27" ht="13.5" hidden="1">
      <c r="F198" s="96"/>
      <c r="G198" s="108"/>
      <c r="H198" s="108"/>
      <c r="I198" s="108"/>
      <c r="K198" s="14"/>
      <c r="L198" s="13"/>
      <c r="M198" s="14"/>
      <c r="N198" s="14"/>
      <c r="O198" s="14"/>
      <c r="P198" s="13"/>
      <c r="Q198" s="14"/>
      <c r="R198" s="14"/>
      <c r="S198" s="13"/>
      <c r="T198" s="94" t="s">
        <v>280</v>
      </c>
      <c r="U198" s="94"/>
      <c r="V198" s="136"/>
      <c r="W198" s="137"/>
      <c r="X198" s="136"/>
      <c r="Y198" s="136"/>
      <c r="Z198" s="137"/>
      <c r="AA198" s="136"/>
    </row>
    <row r="199" spans="6:27" ht="13.5" hidden="1">
      <c r="F199" s="96"/>
      <c r="G199" s="108"/>
      <c r="H199" s="108"/>
      <c r="I199" s="108"/>
      <c r="K199" s="14"/>
      <c r="L199" s="13"/>
      <c r="M199" s="14"/>
      <c r="N199" s="14"/>
      <c r="O199" s="14"/>
      <c r="P199" s="13"/>
      <c r="Q199" s="14"/>
      <c r="R199" s="14"/>
      <c r="S199" s="13"/>
      <c r="T199" s="99" t="s">
        <v>235</v>
      </c>
      <c r="U199" s="94"/>
      <c r="V199" s="136"/>
      <c r="W199" s="137"/>
      <c r="X199" s="136"/>
      <c r="Y199" s="136"/>
      <c r="Z199" s="137"/>
      <c r="AA199" s="136"/>
    </row>
    <row r="200" spans="6:27" ht="13.5" hidden="1">
      <c r="F200" s="96"/>
      <c r="G200" s="108"/>
      <c r="H200" s="108"/>
      <c r="I200" s="108"/>
      <c r="K200" s="14"/>
      <c r="L200" s="13"/>
      <c r="M200" s="14"/>
      <c r="N200" s="14"/>
      <c r="O200" s="14"/>
      <c r="P200" s="13"/>
      <c r="Q200" s="14"/>
      <c r="R200" s="14"/>
      <c r="S200" s="13"/>
      <c r="T200" s="109" t="s">
        <v>115</v>
      </c>
      <c r="U200" s="109"/>
      <c r="V200" s="136"/>
      <c r="W200" s="137"/>
      <c r="X200" s="136"/>
      <c r="Y200" s="136"/>
      <c r="Z200" s="137"/>
      <c r="AA200" s="136"/>
    </row>
    <row r="201" spans="6:27" ht="13.5" hidden="1">
      <c r="F201" s="96"/>
      <c r="G201" s="108"/>
      <c r="H201" s="108"/>
      <c r="I201" s="108"/>
      <c r="K201" s="14"/>
      <c r="L201" s="13"/>
      <c r="M201" s="14"/>
      <c r="N201" s="14"/>
      <c r="O201" s="14"/>
      <c r="P201" s="13"/>
      <c r="Q201" s="14"/>
      <c r="R201" s="14"/>
      <c r="S201" s="13"/>
      <c r="T201" s="109" t="s">
        <v>165</v>
      </c>
      <c r="U201" s="109"/>
      <c r="V201" s="136"/>
      <c r="W201" s="137"/>
      <c r="X201" s="136"/>
      <c r="Y201" s="136"/>
      <c r="Z201" s="137"/>
      <c r="AA201" s="136"/>
    </row>
    <row r="202" spans="6:27" ht="13.5" hidden="1">
      <c r="F202" s="96"/>
      <c r="G202" s="108"/>
      <c r="H202" s="110"/>
      <c r="I202" s="110"/>
      <c r="K202" s="14"/>
      <c r="L202" s="13"/>
      <c r="M202" s="14"/>
      <c r="N202" s="14"/>
      <c r="O202" s="14"/>
      <c r="P202" s="13"/>
      <c r="Q202" s="14"/>
      <c r="R202" s="14"/>
      <c r="S202" s="13"/>
      <c r="T202" s="91" t="s">
        <v>291</v>
      </c>
      <c r="U202" s="144"/>
      <c r="V202" s="92"/>
      <c r="W202" s="93"/>
      <c r="X202" s="92"/>
      <c r="Y202" s="92"/>
      <c r="Z202" s="93"/>
      <c r="AA202" s="92"/>
    </row>
    <row r="203" spans="6:27" ht="13.5" hidden="1">
      <c r="F203" s="96"/>
      <c r="G203" s="108"/>
      <c r="H203" s="110"/>
      <c r="I203" s="110"/>
      <c r="K203" s="14"/>
      <c r="L203" s="13"/>
      <c r="M203" s="14"/>
      <c r="N203" s="14"/>
      <c r="O203" s="14"/>
      <c r="P203" s="13"/>
      <c r="Q203" s="14"/>
      <c r="R203" s="14"/>
      <c r="S203" s="13"/>
      <c r="T203" s="91" t="s">
        <v>287</v>
      </c>
      <c r="U203" s="144"/>
      <c r="V203" s="92"/>
      <c r="W203" s="93"/>
      <c r="X203" s="92"/>
      <c r="Y203" s="92"/>
      <c r="Z203" s="93"/>
      <c r="AA203" s="92"/>
    </row>
    <row r="204" spans="6:27" ht="13.5" hidden="1">
      <c r="F204" s="96"/>
      <c r="G204" s="108"/>
      <c r="H204" s="110"/>
      <c r="I204" s="110"/>
      <c r="K204" s="14"/>
      <c r="L204" s="13"/>
      <c r="M204" s="14"/>
      <c r="N204" s="14"/>
      <c r="O204" s="14"/>
      <c r="P204" s="13"/>
      <c r="Q204" s="14"/>
      <c r="R204" s="14"/>
      <c r="S204" s="13"/>
      <c r="T204" s="91" t="s">
        <v>288</v>
      </c>
      <c r="U204" s="144"/>
      <c r="V204" s="92"/>
      <c r="W204" s="93"/>
      <c r="X204" s="92"/>
      <c r="Y204" s="92"/>
      <c r="Z204" s="93"/>
      <c r="AA204" s="92"/>
    </row>
    <row r="205" spans="6:27" ht="13.5" hidden="1">
      <c r="F205" s="96"/>
      <c r="G205" s="108"/>
      <c r="H205" s="110"/>
      <c r="I205" s="110"/>
      <c r="K205" s="14"/>
      <c r="L205" s="13"/>
      <c r="M205" s="14"/>
      <c r="N205" s="14"/>
      <c r="O205" s="14"/>
      <c r="P205" s="13"/>
      <c r="Q205" s="14"/>
      <c r="R205" s="14"/>
      <c r="S205" s="13"/>
      <c r="T205" s="136" t="s">
        <v>282</v>
      </c>
      <c r="U205" s="109"/>
      <c r="V205" s="136"/>
      <c r="W205" s="137"/>
      <c r="X205" s="136"/>
      <c r="Y205" s="136"/>
      <c r="Z205" s="137"/>
      <c r="AA205" s="136"/>
    </row>
    <row r="206" spans="6:27" ht="13.5" hidden="1">
      <c r="F206" s="96"/>
      <c r="G206" s="108"/>
      <c r="H206" s="7"/>
      <c r="I206" s="7"/>
      <c r="K206" s="14"/>
      <c r="L206" s="13"/>
      <c r="M206" s="14"/>
      <c r="N206" s="14"/>
      <c r="O206" s="14"/>
      <c r="P206" s="13"/>
      <c r="Q206" s="14"/>
      <c r="R206" s="14"/>
      <c r="S206" s="13"/>
      <c r="T206" s="99" t="s">
        <v>283</v>
      </c>
      <c r="U206" s="109"/>
      <c r="V206" s="136"/>
      <c r="W206" s="137"/>
      <c r="X206" s="136"/>
      <c r="Y206" s="136"/>
      <c r="Z206" s="137"/>
      <c r="AA206" s="136"/>
    </row>
    <row r="207" spans="6:27" ht="13.5" hidden="1">
      <c r="F207" s="96"/>
      <c r="G207" s="108"/>
      <c r="H207" s="7"/>
      <c r="I207" s="7"/>
      <c r="K207" s="14"/>
      <c r="L207" s="13"/>
      <c r="M207" s="14"/>
      <c r="N207" s="14"/>
      <c r="O207" s="14"/>
      <c r="P207" s="13"/>
      <c r="Q207" s="14"/>
      <c r="R207" s="14"/>
      <c r="S207" s="13"/>
      <c r="T207" s="99" t="s">
        <v>236</v>
      </c>
      <c r="U207" s="109"/>
      <c r="V207" s="136"/>
      <c r="W207" s="137"/>
      <c r="X207" s="136"/>
      <c r="Y207" s="136"/>
      <c r="Z207" s="137"/>
      <c r="AA207" s="136"/>
    </row>
    <row r="208" spans="11:27" ht="13.5" hidden="1">
      <c r="K208" s="14"/>
      <c r="L208" s="13"/>
      <c r="M208" s="14"/>
      <c r="N208" s="14"/>
      <c r="O208" s="14"/>
      <c r="P208" s="13"/>
      <c r="Q208" s="14"/>
      <c r="R208" s="14"/>
      <c r="S208" s="13"/>
      <c r="T208" s="109" t="s">
        <v>115</v>
      </c>
      <c r="U208" s="136"/>
      <c r="V208" s="136"/>
      <c r="W208" s="137"/>
      <c r="X208" s="136"/>
      <c r="Y208" s="136"/>
      <c r="Z208" s="137"/>
      <c r="AA208" s="136"/>
    </row>
    <row r="209" spans="11:27" ht="13.5" hidden="1">
      <c r="K209" s="14"/>
      <c r="L209" s="13"/>
      <c r="M209" s="14"/>
      <c r="N209" s="14"/>
      <c r="O209" s="14"/>
      <c r="P209" s="13"/>
      <c r="Q209" s="14"/>
      <c r="R209" s="14"/>
      <c r="S209" s="13"/>
      <c r="T209" s="109" t="s">
        <v>166</v>
      </c>
      <c r="U209" s="136"/>
      <c r="V209" s="136"/>
      <c r="W209" s="137"/>
      <c r="X209" s="136"/>
      <c r="Y209" s="136"/>
      <c r="Z209" s="137"/>
      <c r="AA209" s="136"/>
    </row>
    <row r="210" spans="11:19" ht="13.5">
      <c r="K210" s="14"/>
      <c r="L210" s="13"/>
      <c r="M210" s="14"/>
      <c r="N210" s="14"/>
      <c r="O210" s="14"/>
      <c r="P210" s="13"/>
      <c r="Q210" s="14"/>
      <c r="R210" s="14"/>
      <c r="S210" s="13"/>
    </row>
    <row r="211" spans="11:19" ht="13.5">
      <c r="K211" s="14"/>
      <c r="L211" s="13"/>
      <c r="M211" s="14"/>
      <c r="N211" s="14"/>
      <c r="O211" s="14"/>
      <c r="P211" s="13"/>
      <c r="Q211" s="14"/>
      <c r="R211" s="14"/>
      <c r="S211" s="13"/>
    </row>
    <row r="212" spans="11:19" ht="13.5">
      <c r="K212" s="14"/>
      <c r="L212" s="13"/>
      <c r="M212" s="14"/>
      <c r="N212" s="14"/>
      <c r="O212" s="14"/>
      <c r="P212" s="13"/>
      <c r="Q212" s="14"/>
      <c r="R212" s="14"/>
      <c r="S212" s="13"/>
    </row>
    <row r="213" spans="11:19" ht="13.5">
      <c r="K213" s="14"/>
      <c r="L213" s="13"/>
      <c r="M213" s="14"/>
      <c r="N213" s="14"/>
      <c r="O213" s="14"/>
      <c r="P213" s="13"/>
      <c r="Q213" s="14"/>
      <c r="R213" s="14"/>
      <c r="S213" s="13"/>
    </row>
    <row r="214" spans="11:19" ht="13.5">
      <c r="K214" s="14"/>
      <c r="L214" s="13"/>
      <c r="M214" s="14"/>
      <c r="N214" s="14"/>
      <c r="O214" s="14"/>
      <c r="P214" s="13"/>
      <c r="Q214" s="14"/>
      <c r="R214" s="14"/>
      <c r="S214" s="13"/>
    </row>
    <row r="215" spans="11:19" ht="13.5">
      <c r="K215" s="14"/>
      <c r="L215" s="13"/>
      <c r="M215" s="14"/>
      <c r="N215" s="14"/>
      <c r="O215" s="14"/>
      <c r="P215" s="13"/>
      <c r="Q215" s="14"/>
      <c r="R215" s="14"/>
      <c r="S215" s="13"/>
    </row>
    <row r="216" spans="11:19" ht="13.5">
      <c r="K216" s="14"/>
      <c r="L216" s="13"/>
      <c r="M216" s="14"/>
      <c r="N216" s="14"/>
      <c r="O216" s="14"/>
      <c r="P216" s="13"/>
      <c r="Q216" s="14"/>
      <c r="R216" s="14"/>
      <c r="S216" s="13"/>
    </row>
    <row r="217" spans="11:19" ht="13.5">
      <c r="K217" s="14"/>
      <c r="L217" s="13"/>
      <c r="M217" s="14"/>
      <c r="N217" s="14"/>
      <c r="O217" s="14"/>
      <c r="P217" s="13"/>
      <c r="Q217" s="14"/>
      <c r="R217" s="14"/>
      <c r="S217" s="13"/>
    </row>
    <row r="218" spans="11:19" ht="13.5">
      <c r="K218" s="14"/>
      <c r="L218" s="13"/>
      <c r="M218" s="14"/>
      <c r="N218" s="14"/>
      <c r="O218" s="14"/>
      <c r="P218" s="13"/>
      <c r="Q218" s="14"/>
      <c r="R218" s="14"/>
      <c r="S218" s="13"/>
    </row>
    <row r="219" spans="11:19" ht="13.5">
      <c r="K219" s="14"/>
      <c r="L219" s="13"/>
      <c r="M219" s="14"/>
      <c r="N219" s="14"/>
      <c r="O219" s="14"/>
      <c r="P219" s="13"/>
      <c r="Q219" s="14"/>
      <c r="R219" s="14"/>
      <c r="S219" s="13"/>
    </row>
    <row r="220" spans="11:19" ht="13.5">
      <c r="K220" s="14"/>
      <c r="L220" s="13"/>
      <c r="M220" s="14"/>
      <c r="N220" s="14"/>
      <c r="O220" s="14"/>
      <c r="P220" s="13"/>
      <c r="Q220" s="14"/>
      <c r="R220" s="14"/>
      <c r="S220" s="13"/>
    </row>
    <row r="221" spans="11:19" ht="13.5">
      <c r="K221" s="14"/>
      <c r="L221" s="13"/>
      <c r="M221" s="13"/>
      <c r="N221" s="14"/>
      <c r="O221" s="14"/>
      <c r="P221" s="13"/>
      <c r="Q221" s="14"/>
      <c r="R221" s="14"/>
      <c r="S221" s="13"/>
    </row>
    <row r="222" spans="11:19" ht="13.5">
      <c r="K222" s="14"/>
      <c r="L222" s="13"/>
      <c r="M222" s="13"/>
      <c r="N222" s="14"/>
      <c r="O222" s="14"/>
      <c r="P222" s="13"/>
      <c r="Q222" s="14"/>
      <c r="R222" s="14"/>
      <c r="S222" s="13"/>
    </row>
    <row r="223" spans="11:19" ht="13.5">
      <c r="K223" s="14"/>
      <c r="L223" s="13"/>
      <c r="M223" s="13"/>
      <c r="N223" s="14"/>
      <c r="O223" s="14"/>
      <c r="P223" s="13"/>
      <c r="Q223" s="14"/>
      <c r="R223" s="14"/>
      <c r="S223" s="13"/>
    </row>
    <row r="224" spans="11:19" ht="13.5">
      <c r="K224" s="14"/>
      <c r="L224" s="13"/>
      <c r="M224" s="13"/>
      <c r="N224" s="14"/>
      <c r="O224" s="14"/>
      <c r="P224" s="13"/>
      <c r="Q224" s="14"/>
      <c r="R224" s="14"/>
      <c r="S224" s="13"/>
    </row>
  </sheetData>
  <sheetProtection password="DDE7" sheet="1" objects="1" scenarios="1"/>
  <conditionalFormatting sqref="C17:C20">
    <cfRule type="expression" priority="1" dxfId="0" stopIfTrue="1">
      <formula>#REF!="nee"</formula>
    </cfRule>
  </conditionalFormatting>
  <conditionalFormatting sqref="D20">
    <cfRule type="expression" priority="2" dxfId="0" stopIfTrue="1">
      <formula>$D$36="nee"</formula>
    </cfRule>
  </conditionalFormatting>
  <conditionalFormatting sqref="C9">
    <cfRule type="expression" priority="3" dxfId="15" stopIfTrue="1">
      <formula>$L$53=0.5</formula>
    </cfRule>
    <cfRule type="expression" priority="4" dxfId="16" stopIfTrue="1">
      <formula>$I$53=1</formula>
    </cfRule>
    <cfRule type="expression" priority="5" dxfId="0" stopIfTrue="1">
      <formula>($I$53+$L$53)&gt;=1</formula>
    </cfRule>
  </conditionalFormatting>
  <conditionalFormatting sqref="C7">
    <cfRule type="expression" priority="6" dxfId="15" stopIfTrue="1">
      <formula>$L$38=0.5</formula>
    </cfRule>
    <cfRule type="expression" priority="7" dxfId="16" stopIfTrue="1">
      <formula>$I$38=1</formula>
    </cfRule>
    <cfRule type="expression" priority="8" dxfId="0" stopIfTrue="1">
      <formula>($I$38+$L$38)&gt;=1</formula>
    </cfRule>
  </conditionalFormatting>
  <conditionalFormatting sqref="C10">
    <cfRule type="expression" priority="9" dxfId="15" stopIfTrue="1">
      <formula>$L$66=0.5</formula>
    </cfRule>
    <cfRule type="expression" priority="10" dxfId="16" stopIfTrue="1">
      <formula>$I$66=1</formula>
    </cfRule>
    <cfRule type="expression" priority="11" dxfId="0" stopIfTrue="1">
      <formula>($I$66+$L$66)&gt;=1</formula>
    </cfRule>
  </conditionalFormatting>
  <conditionalFormatting sqref="C12">
    <cfRule type="expression" priority="12" dxfId="15" stopIfTrue="1">
      <formula>$L$77=0.5</formula>
    </cfRule>
    <cfRule type="expression" priority="13" dxfId="16" stopIfTrue="1">
      <formula>$I$77=1</formula>
    </cfRule>
    <cfRule type="expression" priority="14" dxfId="0" stopIfTrue="1">
      <formula>($I$77+$L$77)&gt;=1</formula>
    </cfRule>
  </conditionalFormatting>
  <conditionalFormatting sqref="C16">
    <cfRule type="expression" priority="15" dxfId="15" stopIfTrue="1">
      <formula>$L$84=0.5</formula>
    </cfRule>
    <cfRule type="expression" priority="16" dxfId="16" stopIfTrue="1">
      <formula>$I$84=1</formula>
    </cfRule>
    <cfRule type="expression" priority="17" dxfId="0" stopIfTrue="1">
      <formula>($I$84+$L$84)&gt;=1</formula>
    </cfRule>
  </conditionalFormatting>
  <conditionalFormatting sqref="D7">
    <cfRule type="expression" priority="18" dxfId="15" stopIfTrue="1">
      <formula>$S$38=0.5</formula>
    </cfRule>
    <cfRule type="expression" priority="19" dxfId="16" stopIfTrue="1">
      <formula>$P$38=1</formula>
    </cfRule>
    <cfRule type="expression" priority="20" dxfId="0" stopIfTrue="1">
      <formula>($S$38+$P$38)&gt;=1</formula>
    </cfRule>
  </conditionalFormatting>
  <conditionalFormatting sqref="D9">
    <cfRule type="expression" priority="21" dxfId="15" stopIfTrue="1">
      <formula>$S$53=0.5</formula>
    </cfRule>
    <cfRule type="expression" priority="22" dxfId="16" stopIfTrue="1">
      <formula>$P$53=1</formula>
    </cfRule>
    <cfRule type="expression" priority="23" dxfId="0" stopIfTrue="1">
      <formula>($S$53+$P$53)&gt;=1</formula>
    </cfRule>
  </conditionalFormatting>
  <conditionalFormatting sqref="D10">
    <cfRule type="expression" priority="24" dxfId="15" stopIfTrue="1">
      <formula>$S$66=0.5</formula>
    </cfRule>
    <cfRule type="expression" priority="25" dxfId="16" stopIfTrue="1">
      <formula>$P$66=1</formula>
    </cfRule>
    <cfRule type="expression" priority="26" dxfId="0" stopIfTrue="1">
      <formula>($S$66+$P$66)&gt;=1</formula>
    </cfRule>
  </conditionalFormatting>
  <conditionalFormatting sqref="D12">
    <cfRule type="expression" priority="27" dxfId="15" stopIfTrue="1">
      <formula>$S$77=0.5</formula>
    </cfRule>
    <cfRule type="expression" priority="28" dxfId="16" stopIfTrue="1">
      <formula>$P$77=1</formula>
    </cfRule>
    <cfRule type="expression" priority="29" dxfId="0" stopIfTrue="1">
      <formula>($S$77+$P$77)&gt;=1</formula>
    </cfRule>
  </conditionalFormatting>
  <conditionalFormatting sqref="D16">
    <cfRule type="expression" priority="30" dxfId="15" stopIfTrue="1">
      <formula>$S$84=0.5</formula>
    </cfRule>
    <cfRule type="expression" priority="31" dxfId="16" stopIfTrue="1">
      <formula>$P$84=1</formula>
    </cfRule>
    <cfRule type="expression" priority="32" dxfId="0" stopIfTrue="1">
      <formula>($S$84+$P$84)&gt;=1</formula>
    </cfRule>
  </conditionalFormatting>
  <conditionalFormatting sqref="D17">
    <cfRule type="expression" priority="33" dxfId="15" stopIfTrue="1">
      <formula>$S$96=0.5</formula>
    </cfRule>
    <cfRule type="expression" priority="34" dxfId="16" stopIfTrue="1">
      <formula>$P$96=1</formula>
    </cfRule>
    <cfRule type="expression" priority="35" dxfId="0" stopIfTrue="1">
      <formula>($S$96+$P$96)&gt;=1</formula>
    </cfRule>
  </conditionalFormatting>
  <conditionalFormatting sqref="D18">
    <cfRule type="expression" priority="36" dxfId="15" stopIfTrue="1">
      <formula>$S$115=0.5</formula>
    </cfRule>
    <cfRule type="expression" priority="37" dxfId="16" stopIfTrue="1">
      <formula>$P$115=1</formula>
    </cfRule>
    <cfRule type="expression" priority="38" dxfId="0" stopIfTrue="1">
      <formula>($S$115+$P$115)&gt;=1</formula>
    </cfRule>
  </conditionalFormatting>
  <conditionalFormatting sqref="E7">
    <cfRule type="expression" priority="39" dxfId="15" stopIfTrue="1">
      <formula>$Z$38=0.5</formula>
    </cfRule>
    <cfRule type="expression" priority="40" dxfId="16" stopIfTrue="1">
      <formula>$W$38=1</formula>
    </cfRule>
    <cfRule type="expression" priority="41" dxfId="0" stopIfTrue="1">
      <formula>($W$38+$Z$38)&gt;=1</formula>
    </cfRule>
  </conditionalFormatting>
  <conditionalFormatting sqref="E9">
    <cfRule type="expression" priority="42" dxfId="15" stopIfTrue="1">
      <formula>$Z$53=0.5</formula>
    </cfRule>
    <cfRule type="expression" priority="43" dxfId="16" stopIfTrue="1">
      <formula>$W$53=1</formula>
    </cfRule>
    <cfRule type="expression" priority="44" dxfId="0" stopIfTrue="1">
      <formula>($W$53+$Z$53)&gt;=1</formula>
    </cfRule>
  </conditionalFormatting>
  <conditionalFormatting sqref="E10">
    <cfRule type="expression" priority="45" dxfId="15" stopIfTrue="1">
      <formula>$Z$66=0.5</formula>
    </cfRule>
    <cfRule type="expression" priority="46" dxfId="16" stopIfTrue="1">
      <formula>$W$66=1</formula>
    </cfRule>
    <cfRule type="expression" priority="47" dxfId="0" stopIfTrue="1">
      <formula>($W$66+$Z$66)&gt;=1</formula>
    </cfRule>
  </conditionalFormatting>
  <conditionalFormatting sqref="E12">
    <cfRule type="expression" priority="48" dxfId="15" stopIfTrue="1">
      <formula>$Z$77=0.5</formula>
    </cfRule>
    <cfRule type="expression" priority="49" dxfId="16" stopIfTrue="1">
      <formula>$W$77=1</formula>
    </cfRule>
    <cfRule type="expression" priority="50" dxfId="0" stopIfTrue="1">
      <formula>($W$77+$Z$77)&gt;=1</formula>
    </cfRule>
  </conditionalFormatting>
  <conditionalFormatting sqref="E16">
    <cfRule type="expression" priority="51" dxfId="15" stopIfTrue="1">
      <formula>$Z$84=0.5</formula>
    </cfRule>
    <cfRule type="expression" priority="52" dxfId="16" stopIfTrue="1">
      <formula>$W$84=1</formula>
    </cfRule>
    <cfRule type="expression" priority="53" dxfId="0" stopIfTrue="1">
      <formula>($W$84+$Z$84)&gt;=1</formula>
    </cfRule>
  </conditionalFormatting>
  <conditionalFormatting sqref="E17">
    <cfRule type="expression" priority="54" dxfId="15" stopIfTrue="1">
      <formula>$Z$96=0.5</formula>
    </cfRule>
    <cfRule type="expression" priority="55" dxfId="16" stopIfTrue="1">
      <formula>$W$96=1</formula>
    </cfRule>
    <cfRule type="expression" priority="56" dxfId="0" stopIfTrue="1">
      <formula>($W$96+$Z$96)&gt;=1</formula>
    </cfRule>
  </conditionalFormatting>
  <conditionalFormatting sqref="E18">
    <cfRule type="expression" priority="57" dxfId="15" stopIfTrue="1">
      <formula>$Z$115=0.5</formula>
    </cfRule>
    <cfRule type="expression" priority="58" dxfId="16" stopIfTrue="1">
      <formula>$W$115=1</formula>
    </cfRule>
    <cfRule type="expression" priority="59" dxfId="0" stopIfTrue="1">
      <formula>($W$115+$Z$115)&gt;=1</formula>
    </cfRule>
  </conditionalFormatting>
  <conditionalFormatting sqref="E19">
    <cfRule type="expression" priority="60" dxfId="15" stopIfTrue="1">
      <formula>$Z$126=0.5</formula>
    </cfRule>
    <cfRule type="expression" priority="61" dxfId="16" stopIfTrue="1">
      <formula>$W$126=1</formula>
    </cfRule>
    <cfRule type="expression" priority="62" dxfId="0" stopIfTrue="1">
      <formula>($W$126+$Z$126)&gt;=1</formula>
    </cfRule>
  </conditionalFormatting>
  <conditionalFormatting sqref="E20">
    <cfRule type="expression" priority="63" dxfId="15" stopIfTrue="1">
      <formula>$Z$137=0.5</formula>
    </cfRule>
    <cfRule type="expression" priority="64" dxfId="16" stopIfTrue="1">
      <formula>$W$137=1</formula>
    </cfRule>
    <cfRule type="expression" priority="65" dxfId="0" stopIfTrue="1">
      <formula>($W$137+$Z$137)&gt;=1</formula>
    </cfRule>
  </conditionalFormatting>
  <conditionalFormatting sqref="D24">
    <cfRule type="expression" priority="66" dxfId="17" stopIfTrue="1">
      <formula>$S$116=0</formula>
    </cfRule>
    <cfRule type="expression" priority="67" dxfId="0" stopIfTrue="1">
      <formula>$S$116=2</formula>
    </cfRule>
  </conditionalFormatting>
  <conditionalFormatting sqref="C24">
    <cfRule type="expression" priority="68" dxfId="17" stopIfTrue="1">
      <formula>$L$85=0</formula>
    </cfRule>
    <cfRule type="expression" priority="69" dxfId="0" stopIfTrue="1">
      <formula>$L$85=2</formula>
    </cfRule>
  </conditionalFormatting>
  <conditionalFormatting sqref="E24">
    <cfRule type="expression" priority="70" dxfId="17" stopIfTrue="1">
      <formula>$Z$138=0</formula>
    </cfRule>
    <cfRule type="expression" priority="71" dxfId="0" stopIfTrue="1">
      <formula>$Z$138=2</formula>
    </cfRule>
  </conditionalFormatting>
  <conditionalFormatting sqref="C11">
    <cfRule type="expression" priority="72" dxfId="15" stopIfTrue="1">
      <formula>$L$69=0.5</formula>
    </cfRule>
    <cfRule type="expression" priority="73" dxfId="18" stopIfTrue="1">
      <formula>$I$69=1</formula>
    </cfRule>
    <cfRule type="expression" priority="74" dxfId="0" stopIfTrue="1">
      <formula>($I$69+$L$69)&gt;=1</formula>
    </cfRule>
  </conditionalFormatting>
  <conditionalFormatting sqref="D11">
    <cfRule type="expression" priority="75" dxfId="15" stopIfTrue="1">
      <formula>$S$69=0.5</formula>
    </cfRule>
    <cfRule type="expression" priority="76" dxfId="18" stopIfTrue="1">
      <formula>$P$69=1</formula>
    </cfRule>
    <cfRule type="expression" priority="77" dxfId="0" stopIfTrue="1">
      <formula>($S$69+$P$69)&gt;=1</formula>
    </cfRule>
  </conditionalFormatting>
  <conditionalFormatting sqref="E11">
    <cfRule type="expression" priority="78" dxfId="15" stopIfTrue="1">
      <formula>$Z$69=0.5</formula>
    </cfRule>
    <cfRule type="expression" priority="79" dxfId="18" stopIfTrue="1">
      <formula>$W$69=1</formula>
    </cfRule>
    <cfRule type="expression" priority="80" dxfId="0" stopIfTrue="1">
      <formula>($W$69+$Z$69)&gt;=1</formula>
    </cfRule>
  </conditionalFormatting>
  <conditionalFormatting sqref="C15">
    <cfRule type="expression" priority="81" dxfId="15" stopIfTrue="1">
      <formula>$L$42=0.5</formula>
    </cfRule>
    <cfRule type="expression" priority="82" dxfId="18" stopIfTrue="1">
      <formula>$I$42=1</formula>
    </cfRule>
    <cfRule type="expression" priority="83" dxfId="0" stopIfTrue="1">
      <formula>($I$42+$L$42)&gt;=1</formula>
    </cfRule>
  </conditionalFormatting>
  <conditionalFormatting sqref="D15">
    <cfRule type="expression" priority="84" dxfId="15" stopIfTrue="1">
      <formula>$S$42=0.5</formula>
    </cfRule>
    <cfRule type="expression" priority="85" dxfId="18" stopIfTrue="1">
      <formula>$P$42=1</formula>
    </cfRule>
    <cfRule type="expression" priority="86" dxfId="0" stopIfTrue="1">
      <formula>($S$42+$P$42)&gt;=1</formula>
    </cfRule>
  </conditionalFormatting>
  <conditionalFormatting sqref="E15">
    <cfRule type="expression" priority="87" dxfId="15" stopIfTrue="1">
      <formula>$Z$42=0.5</formula>
    </cfRule>
    <cfRule type="expression" priority="88" dxfId="18" stopIfTrue="1">
      <formula>$W$42=1</formula>
    </cfRule>
    <cfRule type="expression" priority="89" dxfId="0" stopIfTrue="1">
      <formula>($W$42+$Z$42)&gt;=1</formula>
    </cfRule>
  </conditionalFormatting>
  <printOptions headings="1"/>
  <pageMargins left="0.7874015748031497" right="0.7874015748031497" top="0.984251968503937" bottom="0.59" header="0.5118110236220472" footer="0.5118110236220472"/>
  <pageSetup horizontalDpi="600" verticalDpi="600" orientation="landscape" paperSize="9" scale="57"/>
  <rowBreaks count="4" manualBreakCount="4">
    <brk id="26" max="255" man="1"/>
    <brk id="84" max="27" man="1"/>
    <brk id="138" max="27" man="1"/>
    <brk id="146" max="27" man="1"/>
  </rowBreaks>
  <colBreaks count="1" manualBreakCount="1">
    <brk id="5"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lw</dc:creator>
  <cp:keywords/>
  <dc:description/>
  <cp:lastModifiedBy>kerk0003</cp:lastModifiedBy>
  <cp:lastPrinted>2011-03-01T15:01:01Z</cp:lastPrinted>
  <dcterms:created xsi:type="dcterms:W3CDTF">2009-02-24T14:56:26Z</dcterms:created>
  <dcterms:modified xsi:type="dcterms:W3CDTF">2011-04-19T14:43:28Z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-862878139</vt:i4>
  </property>
  <property fmtid="{D5CDD505-2E9C-101B-9397-08002B2CF9AE}" pid="3" name="_EmailSubject">
    <vt:lpwstr>Verkenning restwarmte online?</vt:lpwstr>
  </property>
  <property fmtid="{D5CDD505-2E9C-101B-9397-08002B2CF9AE}" pid="4" name="_AuthorEmail">
    <vt:lpwstr>agnes.agterberg@agentschapnl.nl</vt:lpwstr>
  </property>
  <property fmtid="{D5CDD505-2E9C-101B-9397-08002B2CF9AE}" pid="5" name="_AuthorEmailDisplayName">
    <vt:lpwstr>Agterberg, Agnes</vt:lpwstr>
  </property>
  <property fmtid="{D5CDD505-2E9C-101B-9397-08002B2CF9AE}" pid="6" name="_ReviewingToolsShownOnce">
    <vt:lpwstr/>
  </property>
</Properties>
</file>