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BTV 2030 tool\"/>
    </mc:Choice>
  </mc:AlternateContent>
  <xr:revisionPtr revIDLastSave="0" documentId="13_ncr:1_{E89F0D56-2BBE-4912-BB37-9499F61C0B1C}" xr6:coauthVersionLast="47" xr6:coauthVersionMax="47" xr10:uidLastSave="{00000000-0000-0000-0000-000000000000}"/>
  <bookViews>
    <workbookView xWindow="-120" yWindow="-120" windowWidth="51840" windowHeight="21240" xr2:uid="{381927D1-BE85-48B2-AFB9-C600A080CF9C}"/>
  </bookViews>
  <sheets>
    <sheet name="Toelichting" sheetId="6" r:id="rId1"/>
    <sheet name="Hoogte BTV" sheetId="4" r:id="rId2"/>
    <sheet name="Eenheid - Brandstoffen" sheetId="2" r:id="rId3"/>
    <sheet name="Invultabel leveringen" sheetId="1" r:id="rId4"/>
    <sheet name="Doelbereik" sheetId="3" r:id="rId5"/>
    <sheet name="Eind overzicht" sheetId="5" r:id="rId6"/>
  </sheets>
  <definedNames>
    <definedName name="_xlnm.Print_Area" localSheetId="1">'Hoogte BTV'!$A$1:$F$28</definedName>
    <definedName name="_xlnm.Print_Area" localSheetId="0">Toelichting!$A$1:$N$27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4" i="1"/>
  <c r="P25" i="3" l="1"/>
  <c r="P24" i="3"/>
  <c r="I25" i="3"/>
  <c r="I24" i="3"/>
  <c r="I20" i="3"/>
  <c r="I14" i="5"/>
  <c r="E14" i="5"/>
  <c r="Q51" i="3"/>
  <c r="J51" i="3"/>
  <c r="E8" i="1"/>
  <c r="L8" i="1" s="1"/>
  <c r="E7" i="1"/>
  <c r="L7" i="1" s="1"/>
  <c r="P36" i="3"/>
  <c r="Q46" i="3" s="1"/>
  <c r="I36" i="3"/>
  <c r="J46" i="3" s="1"/>
  <c r="E2" i="1"/>
  <c r="L2" i="1" s="1"/>
  <c r="H8" i="1"/>
  <c r="E6" i="1"/>
  <c r="L6" i="1" s="1"/>
  <c r="B22" i="3"/>
  <c r="B25" i="3"/>
  <c r="M2" i="1" l="1"/>
  <c r="E3" i="1"/>
  <c r="L3" i="1" s="1"/>
  <c r="H3" i="1"/>
  <c r="I3" i="1" s="1"/>
  <c r="K3" i="1" s="1"/>
  <c r="E4" i="1"/>
  <c r="I4" i="1"/>
  <c r="K4" i="1" s="1"/>
  <c r="E5" i="1"/>
  <c r="L5" i="1" s="1"/>
  <c r="H5" i="1"/>
  <c r="I5" i="1" s="1"/>
  <c r="K5" i="1" s="1"/>
  <c r="I23" i="3" s="1"/>
  <c r="H6" i="1"/>
  <c r="I6" i="1"/>
  <c r="K6" i="1" s="1"/>
  <c r="H7" i="1"/>
  <c r="I7" i="1"/>
  <c r="K7" i="1" s="1"/>
  <c r="I8" i="1"/>
  <c r="E9" i="1"/>
  <c r="L9" i="1" s="1"/>
  <c r="H9" i="1"/>
  <c r="I9" i="1"/>
  <c r="K9" i="1" s="1"/>
  <c r="E10" i="1"/>
  <c r="H10" i="1"/>
  <c r="I10" i="1"/>
  <c r="K10" i="1" s="1"/>
  <c r="E11" i="1"/>
  <c r="H11" i="1"/>
  <c r="I11" i="1"/>
  <c r="K11" i="1" s="1"/>
  <c r="E12" i="1"/>
  <c r="H12" i="1"/>
  <c r="I12" i="1"/>
  <c r="K12" i="1" s="1"/>
  <c r="E13" i="1"/>
  <c r="H13" i="1"/>
  <c r="I13" i="1"/>
  <c r="K13" i="1" s="1"/>
  <c r="E14" i="1"/>
  <c r="H14" i="1"/>
  <c r="E15" i="1"/>
  <c r="H15" i="1"/>
  <c r="I15" i="1"/>
  <c r="K15" i="1" s="1"/>
  <c r="E16" i="1"/>
  <c r="H16" i="1"/>
  <c r="I16" i="1"/>
  <c r="K16" i="1" s="1"/>
  <c r="E17" i="1"/>
  <c r="H17" i="1"/>
  <c r="I17" i="1"/>
  <c r="K17" i="1" s="1"/>
  <c r="E18" i="1"/>
  <c r="H18" i="1"/>
  <c r="I18" i="1"/>
  <c r="K18" i="1" s="1"/>
  <c r="E19" i="1"/>
  <c r="H19" i="1"/>
  <c r="I19" i="1"/>
  <c r="K19" i="1" s="1"/>
  <c r="E20" i="1"/>
  <c r="H20" i="1"/>
  <c r="I20" i="1"/>
  <c r="K20" i="1" s="1"/>
  <c r="E21" i="1"/>
  <c r="H21" i="1"/>
  <c r="I21" i="1"/>
  <c r="K21" i="1" s="1"/>
  <c r="E22" i="1"/>
  <c r="H22" i="1"/>
  <c r="I22" i="1"/>
  <c r="K22" i="1" s="1"/>
  <c r="E23" i="1"/>
  <c r="H23" i="1"/>
  <c r="I23" i="1"/>
  <c r="K23" i="1" s="1"/>
  <c r="E24" i="1"/>
  <c r="H24" i="1"/>
  <c r="I24" i="1"/>
  <c r="K24" i="1" s="1"/>
  <c r="E25" i="1"/>
  <c r="H25" i="1"/>
  <c r="I25" i="1"/>
  <c r="K25" i="1" s="1"/>
  <c r="E26" i="1"/>
  <c r="H26" i="1"/>
  <c r="I26" i="1"/>
  <c r="K26" i="1" s="1"/>
  <c r="E27" i="1"/>
  <c r="H27" i="1"/>
  <c r="I27" i="1"/>
  <c r="K27" i="1" s="1"/>
  <c r="E28" i="1"/>
  <c r="H28" i="1"/>
  <c r="I28" i="1"/>
  <c r="K28" i="1" s="1"/>
  <c r="E29" i="1"/>
  <c r="H29" i="1"/>
  <c r="I29" i="1"/>
  <c r="K29" i="1" s="1"/>
  <c r="E30" i="1"/>
  <c r="H30" i="1"/>
  <c r="I30" i="1"/>
  <c r="K30" i="1" s="1"/>
  <c r="E31" i="1"/>
  <c r="H31" i="1"/>
  <c r="I31" i="1"/>
  <c r="K31" i="1" s="1"/>
  <c r="E32" i="1"/>
  <c r="H32" i="1"/>
  <c r="I32" i="1"/>
  <c r="K32" i="1" s="1"/>
  <c r="E33" i="1"/>
  <c r="H33" i="1"/>
  <c r="I33" i="1"/>
  <c r="K33" i="1" s="1"/>
  <c r="E34" i="1"/>
  <c r="H34" i="1"/>
  <c r="I34" i="1"/>
  <c r="K34" i="1" s="1"/>
  <c r="I2" i="1"/>
  <c r="L34" i="1" l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4" i="1"/>
  <c r="M4" i="1" s="1"/>
  <c r="X5" i="3"/>
  <c r="K2" i="1"/>
  <c r="P20" i="3" s="1"/>
  <c r="K8" i="1"/>
  <c r="P21" i="3" s="1"/>
  <c r="Q36" i="3"/>
  <c r="W9" i="3"/>
  <c r="M4" i="5" s="1"/>
  <c r="B20" i="3"/>
  <c r="Q35" i="3"/>
  <c r="M9" i="1"/>
  <c r="M8" i="1"/>
  <c r="B23" i="3"/>
  <c r="I21" i="3"/>
  <c r="M7" i="1"/>
  <c r="M6" i="1"/>
  <c r="B21" i="3"/>
  <c r="C34" i="3"/>
  <c r="B24" i="3"/>
  <c r="M5" i="1"/>
  <c r="J5" i="3"/>
  <c r="M3" i="1"/>
  <c r="C5" i="3" s="1"/>
  <c r="Q39" i="3"/>
  <c r="I8" i="5" s="1"/>
  <c r="J39" i="3"/>
  <c r="E8" i="5" s="1"/>
  <c r="J37" i="3"/>
  <c r="C38" i="3"/>
  <c r="A7" i="5" s="1"/>
  <c r="C40" i="3"/>
  <c r="A9" i="5" s="1"/>
  <c r="C36" i="3" l="1"/>
  <c r="C35" i="3"/>
  <c r="J36" i="3"/>
  <c r="J35" i="3"/>
  <c r="Q5" i="3"/>
  <c r="J16" i="3"/>
  <c r="K16" i="3"/>
  <c r="L16" i="3"/>
  <c r="M16" i="3"/>
  <c r="J17" i="3"/>
  <c r="K17" i="3"/>
  <c r="L17" i="3"/>
  <c r="M17" i="3"/>
  <c r="I17" i="3"/>
  <c r="I16" i="3"/>
  <c r="Q16" i="3"/>
  <c r="R16" i="3"/>
  <c r="S16" i="3"/>
  <c r="T16" i="3"/>
  <c r="Q17" i="3"/>
  <c r="R17" i="3"/>
  <c r="S17" i="3"/>
  <c r="T17" i="3"/>
  <c r="P17" i="3"/>
  <c r="P16" i="3"/>
  <c r="Q14" i="3"/>
  <c r="R14" i="3"/>
  <c r="S14" i="3"/>
  <c r="T14" i="3"/>
  <c r="P14" i="3"/>
  <c r="Q13" i="3"/>
  <c r="R13" i="3"/>
  <c r="S13" i="3"/>
  <c r="T13" i="3"/>
  <c r="P13" i="3"/>
  <c r="T11" i="3"/>
  <c r="S11" i="3"/>
  <c r="R11" i="3"/>
  <c r="Q11" i="3"/>
  <c r="T10" i="3"/>
  <c r="S10" i="3"/>
  <c r="R10" i="3"/>
  <c r="Q10" i="3"/>
  <c r="T9" i="3"/>
  <c r="S9" i="3"/>
  <c r="R9" i="3"/>
  <c r="Q9" i="3"/>
  <c r="P10" i="3"/>
  <c r="P11" i="3"/>
  <c r="P9" i="3"/>
  <c r="B9" i="3"/>
  <c r="B14" i="3"/>
  <c r="C14" i="3"/>
  <c r="D14" i="3"/>
  <c r="E14" i="3"/>
  <c r="F14" i="3"/>
  <c r="C13" i="3"/>
  <c r="D13" i="3"/>
  <c r="E13" i="3"/>
  <c r="F13" i="3"/>
  <c r="B13" i="3"/>
  <c r="F17" i="3"/>
  <c r="E17" i="3"/>
  <c r="D17" i="3"/>
  <c r="C17" i="3"/>
  <c r="B17" i="3"/>
  <c r="F16" i="3"/>
  <c r="E16" i="3"/>
  <c r="D16" i="3"/>
  <c r="C16" i="3"/>
  <c r="B16" i="3"/>
  <c r="B10" i="3"/>
  <c r="C10" i="3"/>
  <c r="D10" i="3"/>
  <c r="E10" i="3"/>
  <c r="F10" i="3"/>
  <c r="B11" i="3"/>
  <c r="C11" i="3"/>
  <c r="D11" i="3"/>
  <c r="E11" i="3"/>
  <c r="F11" i="3"/>
  <c r="C9" i="3"/>
  <c r="D9" i="3"/>
  <c r="E9" i="3"/>
  <c r="F9" i="3"/>
  <c r="B30" i="3" s="1"/>
  <c r="J14" i="3"/>
  <c r="K14" i="3"/>
  <c r="L14" i="3"/>
  <c r="M14" i="3"/>
  <c r="I14" i="3"/>
  <c r="J13" i="3"/>
  <c r="K13" i="3"/>
  <c r="L13" i="3"/>
  <c r="M13" i="3"/>
  <c r="I13" i="3"/>
  <c r="J9" i="3"/>
  <c r="K9" i="3"/>
  <c r="L9" i="3"/>
  <c r="M9" i="3"/>
  <c r="J10" i="3"/>
  <c r="K10" i="3"/>
  <c r="L10" i="3"/>
  <c r="M10" i="3"/>
  <c r="J11" i="3"/>
  <c r="K11" i="3"/>
  <c r="L11" i="3"/>
  <c r="M11" i="3"/>
  <c r="I10" i="3"/>
  <c r="I11" i="3"/>
  <c r="I9" i="3"/>
  <c r="J40" i="3"/>
  <c r="E9" i="5" s="1"/>
  <c r="Q40" i="3"/>
  <c r="I9" i="5" s="1"/>
  <c r="J34" i="3"/>
  <c r="E4" i="5" s="1"/>
  <c r="C39" i="3"/>
  <c r="A8" i="5" s="1"/>
  <c r="Q34" i="3"/>
  <c r="I4" i="5" s="1"/>
  <c r="I34" i="3"/>
  <c r="J44" i="3" s="1"/>
  <c r="J48" i="3" s="1"/>
  <c r="J55" i="3" s="1"/>
  <c r="I35" i="3"/>
  <c r="J45" i="3" s="1"/>
  <c r="I37" i="3"/>
  <c r="I38" i="3"/>
  <c r="E5" i="5"/>
  <c r="B38" i="3"/>
  <c r="B37" i="3"/>
  <c r="B35" i="3"/>
  <c r="C45" i="3" s="1"/>
  <c r="B34" i="3"/>
  <c r="C44" i="3" s="1"/>
  <c r="B31" i="3"/>
  <c r="B32" i="3"/>
  <c r="I30" i="3"/>
  <c r="I31" i="3"/>
  <c r="E20" i="5" s="1"/>
  <c r="I32" i="3"/>
  <c r="C48" i="3" l="1"/>
  <c r="C55" i="3"/>
  <c r="C53" i="3"/>
  <c r="C49" i="3"/>
  <c r="B15" i="3"/>
  <c r="C15" i="3"/>
  <c r="D15" i="3"/>
  <c r="E15" i="3"/>
  <c r="F15" i="3"/>
  <c r="B36" i="3" s="1"/>
  <c r="C46" i="3" s="1"/>
  <c r="I14" i="1"/>
  <c r="K14" i="1" s="1"/>
  <c r="A4" i="5"/>
  <c r="Q38" i="3"/>
  <c r="J38" i="3"/>
  <c r="E7" i="5" s="1"/>
  <c r="J63" i="3"/>
  <c r="E24" i="5" s="1"/>
  <c r="C63" i="3"/>
  <c r="A24" i="5" s="1"/>
  <c r="Q37" i="3"/>
  <c r="C37" i="3"/>
  <c r="A6" i="5" s="1"/>
  <c r="I5" i="5"/>
  <c r="A5" i="5"/>
  <c r="J56" i="3"/>
  <c r="E13" i="5" s="1"/>
  <c r="M8" i="5" s="1"/>
  <c r="J54" i="3"/>
  <c r="E12" i="5"/>
  <c r="J53" i="3"/>
  <c r="A12" i="5"/>
  <c r="C54" i="3"/>
  <c r="P34" i="3"/>
  <c r="Q44" i="3" s="1"/>
  <c r="Q48" i="3" s="1"/>
  <c r="Q55" i="3" s="1"/>
  <c r="P35" i="3"/>
  <c r="Q45" i="3" s="1"/>
  <c r="P37" i="3"/>
  <c r="P38" i="3"/>
  <c r="P30" i="3"/>
  <c r="P31" i="3"/>
  <c r="I20" i="5" s="1"/>
  <c r="P32" i="3"/>
  <c r="W18" i="3" l="1"/>
  <c r="X18" i="3" s="1"/>
  <c r="J49" i="3" s="1"/>
  <c r="C50" i="3"/>
  <c r="C51" i="3" s="1"/>
  <c r="C57" i="3" s="1"/>
  <c r="A14" i="5" s="1"/>
  <c r="C64" i="3"/>
  <c r="B7" i="5" s="1"/>
  <c r="J64" i="3"/>
  <c r="F7" i="5" s="1"/>
  <c r="J66" i="3"/>
  <c r="J68" i="3" s="1"/>
  <c r="C60" i="3"/>
  <c r="A23" i="5" s="1"/>
  <c r="J69" i="3"/>
  <c r="F9" i="5" s="1"/>
  <c r="J71" i="3"/>
  <c r="Q54" i="3"/>
  <c r="Q56" i="3"/>
  <c r="I13" i="5" s="1"/>
  <c r="M9" i="5" s="1"/>
  <c r="Q53" i="3"/>
  <c r="I12" i="5"/>
  <c r="C56" i="3" l="1"/>
  <c r="A13" i="5" s="1"/>
  <c r="M7" i="5" s="1"/>
  <c r="M11" i="5" s="1"/>
  <c r="J50" i="3"/>
  <c r="W19" i="3"/>
  <c r="X19" i="3" s="1"/>
  <c r="Q66" i="3"/>
  <c r="C61" i="3"/>
  <c r="B6" i="5" s="1"/>
  <c r="C66" i="3"/>
  <c r="J73" i="3"/>
  <c r="Q49" i="3" l="1"/>
  <c r="Q68" i="3"/>
  <c r="Q69" i="3" s="1"/>
  <c r="J9" i="5" s="1"/>
  <c r="Q71" i="3"/>
  <c r="C68" i="3"/>
  <c r="C69" i="3" s="1"/>
  <c r="B9" i="5" s="1"/>
  <c r="C71" i="3"/>
  <c r="C73" i="3" s="1"/>
  <c r="C74" i="3"/>
  <c r="B8" i="5" s="1"/>
  <c r="C76" i="3"/>
  <c r="J74" i="3"/>
  <c r="F8" i="5" s="1"/>
  <c r="J76" i="3"/>
  <c r="W20" i="3" l="1"/>
  <c r="X20" i="3" s="1"/>
  <c r="N4" i="5" s="1"/>
  <c r="Q50" i="3"/>
  <c r="Q73" i="3"/>
  <c r="Q74" i="3" s="1"/>
  <c r="J8" i="5" s="1"/>
  <c r="Q76" i="3"/>
  <c r="C78" i="3"/>
  <c r="J78" i="3"/>
  <c r="Q78" i="3" l="1"/>
  <c r="Q79" i="3" s="1"/>
  <c r="J4" i="5" s="1"/>
  <c r="Q81" i="3"/>
  <c r="C79" i="3"/>
  <c r="B4" i="5" s="1"/>
  <c r="C81" i="3"/>
  <c r="C83" i="3" s="1"/>
  <c r="J79" i="3"/>
  <c r="F4" i="5" s="1"/>
  <c r="J81" i="3"/>
  <c r="C84" i="3"/>
  <c r="B5" i="5" s="1"/>
  <c r="C86" i="3"/>
  <c r="A17" i="5" s="1"/>
  <c r="Q83" i="3" l="1"/>
  <c r="Q84" i="3" s="1"/>
  <c r="J5" i="5" s="1"/>
  <c r="Q86" i="3"/>
  <c r="I17" i="5" s="1"/>
  <c r="J83" i="3"/>
  <c r="J84" i="3" l="1"/>
  <c r="F5" i="5" s="1"/>
  <c r="J86" i="3"/>
  <c r="E17" i="5" s="1"/>
</calcChain>
</file>

<file path=xl/sharedStrings.xml><?xml version="1.0" encoding="utf-8"?>
<sst xmlns="http://schemas.openxmlformats.org/spreadsheetml/2006/main" count="608" uniqueCount="205">
  <si>
    <t>Brandstof</t>
  </si>
  <si>
    <t>Categorie</t>
  </si>
  <si>
    <t>Sector</t>
  </si>
  <si>
    <t>Eenheid</t>
  </si>
  <si>
    <t>Diesel</t>
  </si>
  <si>
    <t>Binnenvaart</t>
  </si>
  <si>
    <t>Zeevaart</t>
  </si>
  <si>
    <t>Benzine</t>
  </si>
  <si>
    <t>LPG</t>
  </si>
  <si>
    <t>LNG</t>
  </si>
  <si>
    <t>CNG</t>
  </si>
  <si>
    <t>FAME</t>
  </si>
  <si>
    <t>HVO</t>
  </si>
  <si>
    <t>Ethanol</t>
  </si>
  <si>
    <t>Nafta</t>
  </si>
  <si>
    <t>ETBE</t>
  </si>
  <si>
    <t>Stookolie</t>
  </si>
  <si>
    <t>Waterstof</t>
  </si>
  <si>
    <t>Methanol</t>
  </si>
  <si>
    <t>Land</t>
  </si>
  <si>
    <t>Valt onder verplichting</t>
  </si>
  <si>
    <t>Overzicht van leveringen en ERE's</t>
  </si>
  <si>
    <t>ERE-C</t>
  </si>
  <si>
    <t>ERE-IXb</t>
  </si>
  <si>
    <t>ERE-O</t>
  </si>
  <si>
    <t>Land </t>
  </si>
  <si>
    <t>2026 </t>
  </si>
  <si>
    <t>2027 </t>
  </si>
  <si>
    <t>2028 </t>
  </si>
  <si>
    <t>2029 </t>
  </si>
  <si>
    <t>2030 </t>
  </si>
  <si>
    <t>Sectorspecifiek </t>
  </si>
  <si>
    <t>Vrije ruimte </t>
  </si>
  <si>
    <t>Totaal </t>
  </si>
  <si>
    <t>Verplichting RFNBO </t>
  </si>
  <si>
    <t>Limiet Conventioneel </t>
  </si>
  <si>
    <t>Zeevaart </t>
  </si>
  <si>
    <t>Binnenvaart </t>
  </si>
  <si>
    <t>Sector Binnenvaart</t>
  </si>
  <si>
    <t>Sector Zeevaart</t>
  </si>
  <si>
    <t>MTBE</t>
  </si>
  <si>
    <t>FAEE</t>
  </si>
  <si>
    <t>Biopropaan</t>
  </si>
  <si>
    <t>Anders</t>
  </si>
  <si>
    <t>MJ</t>
  </si>
  <si>
    <t>RFNBO</t>
  </si>
  <si>
    <t>Conventioneel</t>
  </si>
  <si>
    <t>Overig</t>
  </si>
  <si>
    <t>Totale leveringen onder verplichting</t>
  </si>
  <si>
    <t>Sector Land</t>
  </si>
  <si>
    <t>Resterende verplichting - Afschrijfvolgorde: Conventioneel (limiet) - Annex Ixb (limiet) - Elektriciteit - Overig - Annex IXa - RFNBO</t>
  </si>
  <si>
    <t>Resterende ERE's na invulling verplichting met eigen eenheden</t>
  </si>
  <si>
    <t>Subverplichtingen</t>
  </si>
  <si>
    <t>Annex IXa - Inzet verplicht</t>
  </si>
  <si>
    <t>RFNBO - Inzet verplicht</t>
  </si>
  <si>
    <t>Tekort Annex IXa</t>
  </si>
  <si>
    <t>Tekort RFNBO</t>
  </si>
  <si>
    <t>Conventioneel - Inzet</t>
  </si>
  <si>
    <t>Conventioneel - Resterend</t>
  </si>
  <si>
    <t>Annex IXb - Inzet</t>
  </si>
  <si>
    <t>Annex IXb - Resterend</t>
  </si>
  <si>
    <t>Verplichting Resterend</t>
  </si>
  <si>
    <t>Elektriciteit - Inzet</t>
  </si>
  <si>
    <t>Elektriciteit - Resterend</t>
  </si>
  <si>
    <t>Overig - Inzet</t>
  </si>
  <si>
    <t>Overig - Resterend</t>
  </si>
  <si>
    <t>Annex IXa - Inzet</t>
  </si>
  <si>
    <t>Annex IXa - Resterend</t>
  </si>
  <si>
    <t>RFNBO - Inzet</t>
  </si>
  <si>
    <t>RFNBO - Resterend</t>
  </si>
  <si>
    <t>Resterende Verplichting</t>
  </si>
  <si>
    <t>Elektriciteit</t>
  </si>
  <si>
    <t>Verplicht</t>
  </si>
  <si>
    <t>-</t>
  </si>
  <si>
    <t>ERE</t>
  </si>
  <si>
    <t>Noodzakelijk om bij te kopen voor subverplichtingen</t>
  </si>
  <si>
    <t>Noodzakelijk om bij te kopen voor totale verplichting</t>
  </si>
  <si>
    <t>Waarvan Maximaal</t>
  </si>
  <si>
    <t>Totaal overzicht doelbereik</t>
  </si>
  <si>
    <t>Optioneel: Keuze Jaartal van verplichting</t>
  </si>
  <si>
    <t>Totale inboekingen o.b.v. ingevulde leveringen - sector Land</t>
  </si>
  <si>
    <t>Totale inboekingen o.b.v. ingevulde leveringen - Binnenvaart</t>
  </si>
  <si>
    <t>Totale inboekingen o.b.v. ingevulde leveringen - Zeevaart</t>
  </si>
  <si>
    <t>LRE</t>
  </si>
  <si>
    <t>ZRE</t>
  </si>
  <si>
    <t>LRE-G</t>
  </si>
  <si>
    <t>LRE-RFNBO/RARE</t>
  </si>
  <si>
    <t>LRE-RFNBO</t>
  </si>
  <si>
    <t>LRE-C</t>
  </si>
  <si>
    <t>LRE-IXb</t>
  </si>
  <si>
    <t>LRE-O</t>
  </si>
  <si>
    <t>LRE-E</t>
  </si>
  <si>
    <t>BRE-G</t>
  </si>
  <si>
    <t>BRE-RFNBO</t>
  </si>
  <si>
    <t>BRE-C</t>
  </si>
  <si>
    <t>BRE-IXb</t>
  </si>
  <si>
    <t>BRE-O</t>
  </si>
  <si>
    <t>BRE-E</t>
  </si>
  <si>
    <t>ZRE-G</t>
  </si>
  <si>
    <t>ZRE-RFNBO</t>
  </si>
  <si>
    <t>ZRE-O</t>
  </si>
  <si>
    <t>ZRE-E</t>
  </si>
  <si>
    <t>BRE</t>
  </si>
  <si>
    <t>BRE + ERE</t>
  </si>
  <si>
    <t>ZRE + ERE</t>
  </si>
  <si>
    <t>BRE-RFNBO/RARE</t>
  </si>
  <si>
    <t>ZRE-RFNBO/RARE</t>
  </si>
  <si>
    <t>LRE-Ixb</t>
  </si>
  <si>
    <t>BRE-Ixb</t>
  </si>
  <si>
    <t>ZRE-C</t>
  </si>
  <si>
    <t>ZRE-Ixb</t>
  </si>
  <si>
    <t>ZRE-RFNBO of RARE</t>
  </si>
  <si>
    <t>LRE-RFNBO of RARE</t>
  </si>
  <si>
    <t>BRE-RFNBO of RARE</t>
  </si>
  <si>
    <t>En onbeperkt inzetbaar: LRE-O, LRE-E, LRE-G, LRE-RFNBO</t>
  </si>
  <si>
    <t>En onbeperkt inzetbaar: BRE-O, BRE-E, BRE-G, BRE-RFNBO</t>
  </si>
  <si>
    <t>En onbeperkt inzetbaar: ZRE-O, ZRE-E, ZRE-G, ZRE-RFNBO</t>
  </si>
  <si>
    <t>Mogelijke hoeveelheid eenheden uit vrije ruimte</t>
  </si>
  <si>
    <t>Hoeveelheid brandstof</t>
  </si>
  <si>
    <t>ERE's uit levering</t>
  </si>
  <si>
    <t>In deze excel ziet u een aantal tabbladen:</t>
  </si>
  <si>
    <t>Hoogte BTV</t>
  </si>
  <si>
    <t>In het kort bevatten deze tabbladen de volgende informatie en keuzes:</t>
  </si>
  <si>
    <t>de berekeningen. Hier hoeft dus niets mee te worden gedaan.</t>
  </si>
  <si>
    <t>waarvoor de verplichting moet worden ingevuld.</t>
  </si>
  <si>
    <t xml:space="preserve">Verder zijn de bladen “Doelbereik” en “Eind overzicht” niet verder in te vullen voor de gebruiker en zullen deze dienen ter toelichting. </t>
  </si>
  <si>
    <t>•</t>
  </si>
  <si>
    <t xml:space="preserve">Invultabel leveringen. In dit tabblad is het mogelijk om alle brandstoffen in te voeren waarover u meer wilt weten. Dit om te zien hoe hoog uw verplichting zal zijn, </t>
  </si>
  <si>
    <t xml:space="preserve">u heeft op basis van de leveringen hernieuwbare energie en hoe de verplichting via de vastgestelde afschrijfvolgorde wordt ingevuld. Hier is het ook </t>
  </si>
  <si>
    <t>kunnen worden verkocht.</t>
  </si>
  <si>
    <t xml:space="preserve">  Eenheid - Brandstoffen</t>
  </si>
  <si>
    <t xml:space="preserve">  Invultabel leveringen</t>
  </si>
  <si>
    <t xml:space="preserve">  Doelbereik</t>
  </si>
  <si>
    <t xml:space="preserve">  Eind overzicht</t>
  </si>
  <si>
    <t>Doelbereik verplichting per sector - Beschikbare en benodigde ERE's op basis van eerder ingevulde leveringen en jaartal</t>
  </si>
  <si>
    <t xml:space="preserve"> </t>
  </si>
  <si>
    <t xml:space="preserve">Eenheid – Brandstoffen. Dit is een overzicht met de energie-inhoud per liter en per kilogram voor de verschillende brandstoffen die kunnen worden ingezet. </t>
  </si>
  <si>
    <t xml:space="preserve">Eind overzicht. Dit tabblad geeft een samenvatting van eerdere tabbladen, met als resultaat de balans waarin is te zien hoeveel ERE's u in moet kopen en welke juist </t>
  </si>
  <si>
    <t xml:space="preserve">De bladen “Hoogte BTV” en “Eenheid – Brandstoffen” zijn ter achtergrondinformatie en zullen in de latere tabbladen automatisch worden gebruikt bij het doen van </t>
  </si>
  <si>
    <t xml:space="preserve">In het blad “Invultabel leveringen” is het aan de gebruiker om alle relevante informatie aan te leveren. Verder kunt u in het tabblad “Doelbereik” het jaartal kiezen </t>
  </si>
  <si>
    <t>BRANDSTOF REFERENTIEDATA:</t>
  </si>
  <si>
    <r>
      <t>Hoogte verplichtingen in kgCO</t>
    </r>
    <r>
      <rPr>
        <b/>
        <vertAlign val="subscript"/>
        <sz val="10"/>
        <color theme="1"/>
        <rFont val="Verdana"/>
        <family val="2"/>
      </rPr>
      <t>2</t>
    </r>
    <r>
      <rPr>
        <b/>
        <sz val="10"/>
        <color theme="1"/>
        <rFont val="Verdana"/>
        <family val="2"/>
      </rPr>
      <t>eq - Benodigde ERE's om aan de verplichting te voldoen o.b.v. ingevulde leveringen</t>
    </r>
  </si>
  <si>
    <t>Saldo</t>
  </si>
  <si>
    <t>Saldo voor afschrijving</t>
  </si>
  <si>
    <t>Saldo na afschrijving</t>
  </si>
  <si>
    <t>Energie-inhoud voor bijdrage ERE's (MJ/eenheid)</t>
  </si>
  <si>
    <t>Energie-inhoud voor berekening verplichting (MJ/eenheid)</t>
  </si>
  <si>
    <t>Totale energie levering voor bijdrage ERE's (MJ)</t>
  </si>
  <si>
    <t>Totale energie levering onder verplichting (MJ)</t>
  </si>
  <si>
    <t>Zelf invullen</t>
  </si>
  <si>
    <t>LHV (MJ/L15)</t>
  </si>
  <si>
    <t>LHV (MJ/kg)</t>
  </si>
  <si>
    <t>LHV (MJ/MJ)</t>
  </si>
  <si>
    <t>Component in andere brandstof? Zo ja, vul in welke brandstof.</t>
  </si>
  <si>
    <t>Limiet Bijlage IXb </t>
  </si>
  <si>
    <t>Verplichting geavanceerd</t>
  </si>
  <si>
    <t>Bijlage IXb</t>
  </si>
  <si>
    <t>Geavanceerd</t>
  </si>
  <si>
    <t>Verplichting Geavanceerd </t>
  </si>
  <si>
    <t>Hoogte Brandstoftransitieverplichting (BTV). Dit is een overzicht met de hoogte van de BTV per sector gedurende 2026 en 2030.</t>
  </si>
  <si>
    <t xml:space="preserve">Doelbereik. In dit tabblad is te zien hoe de berekening van de eerder ingevulde leveringen uitpakt. Hier is te zien hoe hoog uw verplichting is in ERE's, hoeveel ERE's </t>
  </si>
  <si>
    <t xml:space="preserve">Voor een aantal van deze brandstoffen is geen standaardwaarde beschikbaar, zoals bij stookolie. In dit geval moet de gebruiker de eenheid invullen </t>
  </si>
  <si>
    <t>Toelichting BTV-rekentool</t>
  </si>
  <si>
    <t>Versie: Januari 2026</t>
  </si>
  <si>
    <t>Verplichting RFNBO - Directe inzet</t>
  </si>
  <si>
    <t>Sector Raffinage</t>
  </si>
  <si>
    <t>Totale leveringen aan raffinaderijen</t>
  </si>
  <si>
    <t>Totale inboekingen o.b.v. ingevulde leveringen - Raffinage</t>
  </si>
  <si>
    <t>RARE</t>
  </si>
  <si>
    <t>RAREs inzetten voor RFNBO-subdoel sector</t>
  </si>
  <si>
    <t>Ja</t>
  </si>
  <si>
    <t>Tekort RFNBO Directe inzet</t>
  </si>
  <si>
    <t>Inzet RARE's voor subdoel</t>
  </si>
  <si>
    <t>Inzet LRE-RFNBO voor subdoel</t>
  </si>
  <si>
    <t>Inzet BRE-RFNBO voor subdoel</t>
  </si>
  <si>
    <t>Inzet ZRE-RFNBO voor subdoel</t>
  </si>
  <si>
    <t>Totale inzet RARE's voor invulling RFNBO subdoel per sector</t>
  </si>
  <si>
    <t>Inzet</t>
  </si>
  <si>
    <t>Saldo na gebruik</t>
  </si>
  <si>
    <t>LRE-RFNBO + RARE</t>
  </si>
  <si>
    <t>Inzet Annex IXa voor subdoel</t>
  </si>
  <si>
    <t>Resterend saldo Annex IXa</t>
  </si>
  <si>
    <t>Resterend saldo RFNBO</t>
  </si>
  <si>
    <t>BRE-RFNBO + RARE</t>
  </si>
  <si>
    <t>ZRE-RFNBO + RARE</t>
  </si>
  <si>
    <t>Energie-inhoud bijdrage ERE's</t>
  </si>
  <si>
    <t>Energie-inhoud voor berekening verplichting</t>
  </si>
  <si>
    <t>Noodzakelijk om bij te kopen voor subverplichting</t>
  </si>
  <si>
    <t>ERE-RFNBO of RARE - totaal</t>
  </si>
  <si>
    <t xml:space="preserve">of om inzicht te krijgen in de hoeveelheid ERE’s die een brandstoflevering u zal opleveren. Voor hernieuwbare brandstoffen en elektriciteit is het nodig om </t>
  </si>
  <si>
    <t>zelf in te vullen wat de restemissies in gCO2/MJ zijn voor elke levering.</t>
  </si>
  <si>
    <t>Bijdrage o.b.v. ingevulde leveringen is te zien bij de sectoren Land, Binnenvaart en Zeevaart</t>
  </si>
  <si>
    <t>Inzet LRE-RFNBO voor subdoel directe inzet</t>
  </si>
  <si>
    <t>Inzet BRE-RFNBO voor subdoel directe inzet</t>
  </si>
  <si>
    <t>Inzet ZRE-RFNBO voor subdoel directe inzet</t>
  </si>
  <si>
    <t>RFNBO directe inzet - Inzet verplicht</t>
  </si>
  <si>
    <t>Verplichting RFNBO directe inzet</t>
  </si>
  <si>
    <r>
      <t>CO</t>
    </r>
    <r>
      <rPr>
        <b/>
        <vertAlign val="subscript"/>
        <sz val="10"/>
        <color theme="0"/>
        <rFont val="Verdana"/>
        <family val="2"/>
      </rPr>
      <t>2</t>
    </r>
    <r>
      <rPr>
        <b/>
        <sz val="10"/>
        <color theme="0"/>
        <rFont val="Verdana"/>
        <family val="2"/>
      </rPr>
      <t>-uitstoot (gCO</t>
    </r>
    <r>
      <rPr>
        <b/>
        <vertAlign val="subscript"/>
        <sz val="10"/>
        <color theme="0"/>
        <rFont val="Verdana"/>
        <family val="2"/>
      </rPr>
      <t>2</t>
    </r>
    <r>
      <rPr>
        <b/>
        <sz val="10"/>
        <color theme="0"/>
        <rFont val="Verdana"/>
        <family val="2"/>
      </rPr>
      <t xml:space="preserve">eq/MJ) - Waarde per levering invullen. </t>
    </r>
  </si>
  <si>
    <t xml:space="preserve">mogelijk om te kiezen voor welk jaar u dit graag zou hebben uitgerekend. </t>
  </si>
  <si>
    <t>HFO</t>
  </si>
  <si>
    <t>LFO</t>
  </si>
  <si>
    <t>MDO</t>
  </si>
  <si>
    <t>MGO</t>
  </si>
  <si>
    <t>Geraffineerde bio olie</t>
  </si>
  <si>
    <t>in dit tabblad of per levering in het tabblad "Invultabel leveringen"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</si>
</sst>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</font>
    <font>
      <sz val="8"/>
      <name val="Calibri"/>
      <family val="2"/>
    </font>
    <font>
      <b/>
      <sz val="22"/>
      <color rgb="FF007BC7"/>
      <name val="RijksoverheidSansHeadingTT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1"/>
      <color theme="0"/>
      <name val="Calibri"/>
      <family val="2"/>
    </font>
    <font>
      <b/>
      <sz val="18"/>
      <color theme="0"/>
      <name val="Calibri"/>
      <family val="2"/>
    </font>
    <font>
      <sz val="10"/>
      <color theme="1"/>
      <name val="Verdana"/>
      <family val="2"/>
    </font>
    <font>
      <b/>
      <sz val="10"/>
      <color rgb="FF007BC7"/>
      <name val="Verdana"/>
      <family val="2"/>
    </font>
    <font>
      <b/>
      <sz val="10"/>
      <color rgb="FFFFFFFF"/>
      <name val="Verdana"/>
      <family val="2"/>
    </font>
    <font>
      <b/>
      <sz val="10"/>
      <color theme="1"/>
      <name val="Verdana"/>
      <family val="2"/>
    </font>
    <font>
      <sz val="10"/>
      <color rgb="FFD52B1E"/>
      <name val="Verdana"/>
      <family val="2"/>
    </font>
    <font>
      <sz val="10"/>
      <color rgb="FFFF0000"/>
      <name val="Verdana"/>
      <family val="2"/>
    </font>
    <font>
      <b/>
      <vertAlign val="subscript"/>
      <sz val="10"/>
      <color theme="0"/>
      <name val="Verdana"/>
      <family val="2"/>
    </font>
    <font>
      <b/>
      <vertAlign val="subscript"/>
      <sz val="10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BC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E1EDDA"/>
        <bgColor indexed="64"/>
      </patternFill>
    </fill>
    <fill>
      <patternFill patternType="solid">
        <fgColor rgb="FFEEF7FB"/>
        <bgColor indexed="64"/>
      </patternFill>
    </fill>
    <fill>
      <patternFill patternType="solid">
        <fgColor rgb="FFFEFBDD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 indent="1"/>
    </xf>
    <xf numFmtId="0" fontId="0" fillId="2" borderId="10" xfId="0" applyFill="1" applyBorder="1"/>
    <xf numFmtId="0" fontId="2" fillId="3" borderId="0" xfId="0" applyFont="1" applyFill="1" applyAlignment="1">
      <alignment horizontal="left" indent="1"/>
    </xf>
    <xf numFmtId="0" fontId="0" fillId="0" borderId="13" xfId="0" applyBorder="1"/>
    <xf numFmtId="0" fontId="3" fillId="4" borderId="13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4" borderId="1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right" vertical="center" wrapText="1"/>
    </xf>
    <xf numFmtId="164" fontId="4" fillId="5" borderId="13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3" borderId="0" xfId="0" applyFont="1" applyFill="1" applyAlignment="1">
      <alignment horizontal="right"/>
    </xf>
    <xf numFmtId="0" fontId="3" fillId="4" borderId="14" xfId="0" applyFont="1" applyFill="1" applyBorder="1" applyAlignment="1">
      <alignment horizontal="right" vertical="center" wrapText="1"/>
    </xf>
    <xf numFmtId="0" fontId="0" fillId="0" borderId="13" xfId="0" applyBorder="1" applyAlignment="1">
      <alignment horizontal="right"/>
    </xf>
    <xf numFmtId="0" fontId="4" fillId="6" borderId="13" xfId="0" applyFont="1" applyFill="1" applyBorder="1" applyAlignment="1">
      <alignment vertical="center" wrapText="1"/>
    </xf>
    <xf numFmtId="164" fontId="4" fillId="6" borderId="13" xfId="0" applyNumberFormat="1" applyFont="1" applyFill="1" applyBorder="1" applyAlignment="1">
      <alignment horizontal="right" vertical="center" wrapText="1"/>
    </xf>
    <xf numFmtId="9" fontId="4" fillId="6" borderId="13" xfId="0" applyNumberFormat="1" applyFont="1" applyFill="1" applyBorder="1" applyAlignment="1">
      <alignment horizontal="right" vertical="center" wrapText="1"/>
    </xf>
    <xf numFmtId="0" fontId="0" fillId="3" borderId="8" xfId="0" applyFill="1" applyBorder="1"/>
    <xf numFmtId="0" fontId="0" fillId="3" borderId="9" xfId="0" applyFill="1" applyBorder="1"/>
    <xf numFmtId="0" fontId="5" fillId="4" borderId="0" xfId="0" applyFont="1" applyFill="1"/>
    <xf numFmtId="0" fontId="3" fillId="4" borderId="13" xfId="0" applyFont="1" applyFill="1" applyBorder="1" applyAlignment="1">
      <alignment vertical="top" wrapText="1"/>
    </xf>
    <xf numFmtId="0" fontId="7" fillId="0" borderId="0" xfId="0" applyFont="1"/>
    <xf numFmtId="0" fontId="7" fillId="2" borderId="13" xfId="0" applyFont="1" applyFill="1" applyBorder="1"/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3" fontId="7" fillId="3" borderId="0" xfId="0" applyNumberFormat="1" applyFont="1" applyFill="1"/>
    <xf numFmtId="0" fontId="10" fillId="2" borderId="15" xfId="0" applyFont="1" applyFill="1" applyBorder="1"/>
    <xf numFmtId="0" fontId="10" fillId="3" borderId="0" xfId="0" applyFont="1" applyFill="1"/>
    <xf numFmtId="3" fontId="7" fillId="6" borderId="14" xfId="0" applyNumberFormat="1" applyFont="1" applyFill="1" applyBorder="1"/>
    <xf numFmtId="3" fontId="7" fillId="6" borderId="13" xfId="0" applyNumberFormat="1" applyFont="1" applyFill="1" applyBorder="1"/>
    <xf numFmtId="3" fontId="10" fillId="6" borderId="13" xfId="0" applyNumberFormat="1" applyFont="1" applyFill="1" applyBorder="1"/>
    <xf numFmtId="0" fontId="7" fillId="3" borderId="5" xfId="0" applyFont="1" applyFill="1" applyBorder="1"/>
    <xf numFmtId="0" fontId="6" fillId="4" borderId="0" xfId="0" applyFont="1" applyFill="1" applyAlignment="1">
      <alignment horizontal="left" indent="1"/>
    </xf>
    <xf numFmtId="0" fontId="7" fillId="3" borderId="5" xfId="0" applyFont="1" applyFill="1" applyBorder="1" applyAlignment="1">
      <alignment horizontal="left" indent="1"/>
    </xf>
    <xf numFmtId="0" fontId="7" fillId="6" borderId="13" xfId="0" applyFont="1" applyFill="1" applyBorder="1" applyAlignment="1">
      <alignment horizontal="center"/>
    </xf>
    <xf numFmtId="3" fontId="0" fillId="3" borderId="7" xfId="0" applyNumberFormat="1" applyFill="1" applyBorder="1"/>
    <xf numFmtId="0" fontId="3" fillId="4" borderId="0" xfId="0" applyFont="1" applyFill="1"/>
    <xf numFmtId="0" fontId="7" fillId="3" borderId="6" xfId="0" applyFont="1" applyFill="1" applyBorder="1"/>
    <xf numFmtId="3" fontId="7" fillId="3" borderId="5" xfId="0" applyNumberFormat="1" applyFont="1" applyFill="1" applyBorder="1"/>
    <xf numFmtId="0" fontId="10" fillId="3" borderId="5" xfId="0" applyFont="1" applyFill="1" applyBorder="1"/>
    <xf numFmtId="0" fontId="10" fillId="7" borderId="2" xfId="0" applyFont="1" applyFill="1" applyBorder="1"/>
    <xf numFmtId="0" fontId="10" fillId="7" borderId="3" xfId="0" applyFont="1" applyFill="1" applyBorder="1"/>
    <xf numFmtId="0" fontId="10" fillId="7" borderId="4" xfId="0" applyFont="1" applyFill="1" applyBorder="1"/>
    <xf numFmtId="0" fontId="10" fillId="8" borderId="2" xfId="0" applyFont="1" applyFill="1" applyBorder="1"/>
    <xf numFmtId="0" fontId="10" fillId="8" borderId="3" xfId="0" applyFont="1" applyFill="1" applyBorder="1"/>
    <xf numFmtId="0" fontId="10" fillId="8" borderId="4" xfId="0" applyFont="1" applyFill="1" applyBorder="1"/>
    <xf numFmtId="0" fontId="10" fillId="9" borderId="2" xfId="0" applyFont="1" applyFill="1" applyBorder="1"/>
    <xf numFmtId="0" fontId="10" fillId="9" borderId="3" xfId="0" applyFont="1" applyFill="1" applyBorder="1"/>
    <xf numFmtId="0" fontId="10" fillId="9" borderId="4" xfId="0" applyFont="1" applyFill="1" applyBorder="1"/>
    <xf numFmtId="0" fontId="4" fillId="8" borderId="13" xfId="0" applyFont="1" applyFill="1" applyBorder="1" applyAlignment="1">
      <alignment vertical="center" wrapText="1"/>
    </xf>
    <xf numFmtId="164" fontId="4" fillId="8" borderId="13" xfId="0" applyNumberFormat="1" applyFont="1" applyFill="1" applyBorder="1" applyAlignment="1">
      <alignment horizontal="right" vertical="center" wrapText="1"/>
    </xf>
    <xf numFmtId="10" fontId="4" fillId="8" borderId="13" xfId="0" applyNumberFormat="1" applyFont="1" applyFill="1" applyBorder="1" applyAlignment="1">
      <alignment horizontal="right" vertical="center" wrapText="1"/>
    </xf>
    <xf numFmtId="0" fontId="4" fillId="7" borderId="13" xfId="0" applyFont="1" applyFill="1" applyBorder="1" applyAlignment="1">
      <alignment vertical="center" wrapText="1"/>
    </xf>
    <xf numFmtId="164" fontId="4" fillId="7" borderId="13" xfId="0" applyNumberFormat="1" applyFont="1" applyFill="1" applyBorder="1" applyAlignment="1">
      <alignment horizontal="right" vertical="center" wrapText="1"/>
    </xf>
    <xf numFmtId="9" fontId="4" fillId="7" borderId="13" xfId="0" applyNumberFormat="1" applyFont="1" applyFill="1" applyBorder="1" applyAlignment="1">
      <alignment horizontal="right" vertical="center" wrapText="1"/>
    </xf>
    <xf numFmtId="0" fontId="7" fillId="3" borderId="13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10" fillId="7" borderId="2" xfId="0" applyFont="1" applyFill="1" applyBorder="1" applyAlignment="1">
      <alignment horizontal="left" indent="1"/>
    </xf>
    <xf numFmtId="0" fontId="7" fillId="7" borderId="3" xfId="0" applyFont="1" applyFill="1" applyBorder="1"/>
    <xf numFmtId="0" fontId="7" fillId="7" borderId="4" xfId="0" applyFont="1" applyFill="1" applyBorder="1"/>
    <xf numFmtId="0" fontId="10" fillId="3" borderId="5" xfId="0" applyFont="1" applyFill="1" applyBorder="1" applyAlignment="1">
      <alignment horizontal="left" indent="1"/>
    </xf>
    <xf numFmtId="0" fontId="10" fillId="2" borderId="17" xfId="0" applyFont="1" applyFill="1" applyBorder="1"/>
    <xf numFmtId="3" fontId="7" fillId="6" borderId="18" xfId="0" applyNumberFormat="1" applyFont="1" applyFill="1" applyBorder="1"/>
    <xf numFmtId="3" fontId="7" fillId="3" borderId="6" xfId="0" applyNumberFormat="1" applyFont="1" applyFill="1" applyBorder="1"/>
    <xf numFmtId="3" fontId="7" fillId="6" borderId="19" xfId="0" applyNumberFormat="1" applyFont="1" applyFill="1" applyBorder="1"/>
    <xf numFmtId="0" fontId="7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left" indent="1"/>
    </xf>
    <xf numFmtId="0" fontId="7" fillId="3" borderId="7" xfId="0" applyFont="1" applyFill="1" applyBorder="1" applyAlignment="1">
      <alignment horizontal="left" indent="1"/>
    </xf>
    <xf numFmtId="0" fontId="7" fillId="3" borderId="8" xfId="0" applyFont="1" applyFill="1" applyBorder="1"/>
    <xf numFmtId="0" fontId="7" fillId="3" borderId="9" xfId="0" applyFont="1" applyFill="1" applyBorder="1"/>
    <xf numFmtId="0" fontId="7" fillId="8" borderId="3" xfId="0" applyFont="1" applyFill="1" applyBorder="1"/>
    <xf numFmtId="0" fontId="7" fillId="8" borderId="4" xfId="0" applyFont="1" applyFill="1" applyBorder="1"/>
    <xf numFmtId="0" fontId="11" fillId="3" borderId="5" xfId="0" applyFont="1" applyFill="1" applyBorder="1"/>
    <xf numFmtId="0" fontId="11" fillId="3" borderId="0" xfId="0" applyFont="1" applyFill="1" applyAlignment="1">
      <alignment horizontal="center"/>
    </xf>
    <xf numFmtId="0" fontId="12" fillId="3" borderId="0" xfId="0" applyFont="1" applyFill="1"/>
    <xf numFmtId="0" fontId="10" fillId="3" borderId="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6" xfId="0" applyFont="1" applyFill="1" applyBorder="1" applyAlignment="1">
      <alignment horizontal="left"/>
    </xf>
    <xf numFmtId="0" fontId="11" fillId="3" borderId="0" xfId="0" applyFont="1" applyFill="1"/>
    <xf numFmtId="0" fontId="7" fillId="3" borderId="7" xfId="0" applyFont="1" applyFill="1" applyBorder="1"/>
    <xf numFmtId="0" fontId="7" fillId="9" borderId="3" xfId="0" applyFont="1" applyFill="1" applyBorder="1"/>
    <xf numFmtId="0" fontId="7" fillId="9" borderId="4" xfId="0" applyFont="1" applyFill="1" applyBorder="1"/>
    <xf numFmtId="3" fontId="7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Protection="1">
      <protection locked="0"/>
    </xf>
    <xf numFmtId="3" fontId="7" fillId="2" borderId="13" xfId="0" applyNumberFormat="1" applyFont="1" applyFill="1" applyBorder="1"/>
    <xf numFmtId="0" fontId="7" fillId="0" borderId="13" xfId="0" applyFont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7" fillId="3" borderId="5" xfId="0" applyFont="1" applyFill="1" applyBorder="1" applyAlignment="1">
      <alignment horizontal="left" wrapText="1" indent="1"/>
    </xf>
    <xf numFmtId="0" fontId="7" fillId="3" borderId="5" xfId="0" applyFont="1" applyFill="1" applyBorder="1" applyAlignment="1">
      <alignment wrapText="1"/>
    </xf>
    <xf numFmtId="3" fontId="7" fillId="6" borderId="13" xfId="0" applyNumberFormat="1" applyFont="1" applyFill="1" applyBorder="1" applyAlignment="1">
      <alignment horizontal="center"/>
    </xf>
    <xf numFmtId="3" fontId="7" fillId="6" borderId="19" xfId="0" applyNumberFormat="1" applyFont="1" applyFill="1" applyBorder="1" applyAlignment="1">
      <alignment horizontal="center"/>
    </xf>
    <xf numFmtId="3" fontId="7" fillId="3" borderId="0" xfId="0" applyNumberFormat="1" applyFont="1" applyFill="1" applyAlignment="1">
      <alignment horizontal="center"/>
    </xf>
    <xf numFmtId="0" fontId="10" fillId="3" borderId="5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6" xfId="0" applyFont="1" applyFill="1" applyBorder="1" applyAlignment="1">
      <alignment wrapText="1"/>
    </xf>
    <xf numFmtId="3" fontId="7" fillId="3" borderId="20" xfId="0" applyNumberFormat="1" applyFont="1" applyFill="1" applyBorder="1"/>
    <xf numFmtId="3" fontId="7" fillId="3" borderId="20" xfId="0" applyNumberFormat="1" applyFont="1" applyFill="1" applyBorder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/>
    </xf>
    <xf numFmtId="0" fontId="10" fillId="9" borderId="0" xfId="0" applyFont="1" applyFill="1"/>
    <xf numFmtId="0" fontId="0" fillId="3" borderId="7" xfId="0" applyFill="1" applyBorder="1"/>
    <xf numFmtId="0" fontId="10" fillId="10" borderId="2" xfId="0" applyFont="1" applyFill="1" applyBorder="1"/>
    <xf numFmtId="0" fontId="7" fillId="10" borderId="3" xfId="0" applyFont="1" applyFill="1" applyBorder="1"/>
    <xf numFmtId="0" fontId="7" fillId="10" borderId="4" xfId="0" applyFont="1" applyFill="1" applyBorder="1"/>
    <xf numFmtId="0" fontId="10" fillId="10" borderId="3" xfId="0" applyFont="1" applyFill="1" applyBorder="1"/>
    <xf numFmtId="0" fontId="10" fillId="10" borderId="4" xfId="0" applyFont="1" applyFill="1" applyBorder="1"/>
    <xf numFmtId="3" fontId="10" fillId="3" borderId="20" xfId="0" applyNumberFormat="1" applyFont="1" applyFill="1" applyBorder="1"/>
    <xf numFmtId="0" fontId="7" fillId="9" borderId="13" xfId="0" applyFon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8" fillId="3" borderId="0" xfId="0" applyFont="1" applyFill="1"/>
    <xf numFmtId="0" fontId="9" fillId="4" borderId="13" xfId="0" applyFont="1" applyFill="1" applyBorder="1"/>
    <xf numFmtId="0" fontId="9" fillId="4" borderId="14" xfId="0" applyFont="1" applyFill="1" applyBorder="1" applyAlignment="1">
      <alignment wrapText="1"/>
    </xf>
    <xf numFmtId="0" fontId="7" fillId="6" borderId="13" xfId="0" applyFont="1" applyFill="1" applyBorder="1"/>
    <xf numFmtId="0" fontId="7" fillId="0" borderId="13" xfId="0" applyFont="1" applyBorder="1"/>
    <xf numFmtId="0" fontId="7" fillId="6" borderId="16" xfId="0" applyFont="1" applyFill="1" applyBorder="1"/>
    <xf numFmtId="0" fontId="7" fillId="3" borderId="13" xfId="0" applyFont="1" applyFill="1" applyBorder="1"/>
    <xf numFmtId="0" fontId="7" fillId="3" borderId="0" xfId="0" applyFont="1" applyFill="1" applyProtection="1">
      <protection locked="0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wrapText="1"/>
    </xf>
    <xf numFmtId="0" fontId="10" fillId="3" borderId="6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6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left" wrapText="1" indent="1"/>
    </xf>
    <xf numFmtId="0" fontId="10" fillId="3" borderId="0" xfId="0" applyFont="1" applyFill="1" applyAlignment="1">
      <alignment horizontal="left" wrapText="1" indent="1"/>
    </xf>
    <xf numFmtId="0" fontId="10" fillId="3" borderId="6" xfId="0" applyFont="1" applyFill="1" applyBorder="1" applyAlignment="1">
      <alignment horizontal="left" wrapText="1" indent="1"/>
    </xf>
    <xf numFmtId="0" fontId="10" fillId="3" borderId="5" xfId="0" applyFont="1" applyFill="1" applyBorder="1" applyAlignment="1">
      <alignment horizontal="left" indent="1"/>
    </xf>
    <xf numFmtId="0" fontId="10" fillId="3" borderId="0" xfId="0" applyFont="1" applyFill="1" applyAlignment="1">
      <alignment horizontal="left" indent="1"/>
    </xf>
    <xf numFmtId="0" fontId="10" fillId="3" borderId="6" xfId="0" applyFont="1" applyFill="1" applyBorder="1" applyAlignment="1">
      <alignment horizontal="left" inden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EFBDD"/>
      <color rgb="FFFFFF99"/>
      <color rgb="FFE1EDDA"/>
      <color rgb="FF007BC7"/>
      <color rgb="FFEEF7FB"/>
      <color rgb="FFFAFAFA"/>
      <color rgb="FFD52B1E"/>
      <color rgb="FFC3DBB5"/>
      <color rgb="FFCCE7F4"/>
      <color rgb="FFEE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0</xdr:rowOff>
    </xdr:from>
    <xdr:to>
      <xdr:col>8</xdr:col>
      <xdr:colOff>327981</xdr:colOff>
      <xdr:row>0</xdr:row>
      <xdr:rowOff>1152525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036B3742-BF3B-2F32-4523-B6DCE9CEE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0"/>
          <a:ext cx="2080581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AC01-29F4-4F00-9FD7-C88F580BD067}">
  <sheetPr>
    <tabColor rgb="FFFFFF99"/>
  </sheetPr>
  <dimension ref="A1:N68"/>
  <sheetViews>
    <sheetView tabSelected="1" zoomScaleNormal="100" workbookViewId="0">
      <selection activeCell="B12" sqref="B12"/>
    </sheetView>
  </sheetViews>
  <sheetFormatPr defaultColWidth="0" defaultRowHeight="15" zeroHeight="1" x14ac:dyDescent="0.25"/>
  <cols>
    <col min="1" max="1" width="4.28515625" style="1" customWidth="1"/>
    <col min="2" max="2" width="9.5703125" style="1" customWidth="1"/>
    <col min="3" max="3" width="23.5703125" style="1" customWidth="1"/>
    <col min="4" max="4" width="22" style="1" customWidth="1"/>
    <col min="5" max="5" width="13.42578125" style="1" customWidth="1"/>
    <col min="6" max="6" width="14.42578125" style="1" customWidth="1"/>
    <col min="7" max="13" width="9.140625" style="1" customWidth="1"/>
    <col min="14" max="14" width="15.5703125" style="1" customWidth="1"/>
    <col min="15" max="16384" width="9.140625" style="1" hidden="1"/>
  </cols>
  <sheetData>
    <row r="1" spans="1:14" customFormat="1" ht="104.25" customHeight="1" x14ac:dyDescent="0.25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customFormat="1" ht="29.25" x14ac:dyDescent="0.5">
      <c r="A2" s="4" t="s">
        <v>162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customFormat="1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customFormat="1" ht="15.75" thickBot="1" x14ac:dyDescent="0.3">
      <c r="A4" s="27" t="s">
        <v>120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customFormat="1" ht="15.75" thickBot="1" x14ac:dyDescent="0.3">
      <c r="A5" s="121" t="s">
        <v>121</v>
      </c>
      <c r="B5" s="122"/>
      <c r="C5" s="3" t="s">
        <v>130</v>
      </c>
      <c r="D5" s="3" t="s">
        <v>131</v>
      </c>
      <c r="E5" s="3" t="s">
        <v>132</v>
      </c>
      <c r="F5" s="3" t="s">
        <v>133</v>
      </c>
      <c r="G5" s="1"/>
      <c r="H5" s="1"/>
      <c r="I5" s="1"/>
      <c r="J5" s="1"/>
      <c r="K5" s="1"/>
      <c r="L5" s="1"/>
      <c r="M5" s="1"/>
      <c r="N5" s="1"/>
    </row>
    <row r="6" spans="1:14" customFormat="1" x14ac:dyDescent="0.25">
      <c r="A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customFormat="1" x14ac:dyDescent="0.25">
      <c r="A7" s="27" t="s">
        <v>122</v>
      </c>
      <c r="B7" s="2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customFormat="1" x14ac:dyDescent="0.25">
      <c r="A8" s="27" t="s">
        <v>126</v>
      </c>
      <c r="B8" s="26" t="s">
        <v>159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customFormat="1" x14ac:dyDescent="0.25">
      <c r="A9" s="27" t="s">
        <v>126</v>
      </c>
      <c r="B9" s="26" t="s">
        <v>136</v>
      </c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customFormat="1" x14ac:dyDescent="0.25">
      <c r="A10" s="27"/>
      <c r="B10" s="26" t="s">
        <v>161</v>
      </c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customFormat="1" x14ac:dyDescent="0.25">
      <c r="A11" s="27"/>
      <c r="B11" s="26" t="s">
        <v>204</v>
      </c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customFormat="1" x14ac:dyDescent="0.25">
      <c r="A12" s="27" t="s">
        <v>126</v>
      </c>
      <c r="B12" s="26" t="s">
        <v>127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customFormat="1" x14ac:dyDescent="0.25">
      <c r="A13" s="26"/>
      <c r="B13" s="26" t="s">
        <v>189</v>
      </c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customFormat="1" x14ac:dyDescent="0.25">
      <c r="A14" s="26"/>
      <c r="B14" s="26" t="s">
        <v>190</v>
      </c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customFormat="1" x14ac:dyDescent="0.25">
      <c r="A15" s="27" t="s">
        <v>126</v>
      </c>
      <c r="B15" s="26" t="s">
        <v>160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customFormat="1" x14ac:dyDescent="0.25">
      <c r="A16" s="26"/>
      <c r="B16" s="26" t="s">
        <v>128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customFormat="1" x14ac:dyDescent="0.25">
      <c r="A17" s="26"/>
      <c r="B17" s="26" t="s">
        <v>198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customFormat="1" x14ac:dyDescent="0.25">
      <c r="A18" s="27" t="s">
        <v>126</v>
      </c>
      <c r="B18" s="26" t="s">
        <v>137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customFormat="1" x14ac:dyDescent="0.25">
      <c r="A19" s="26"/>
      <c r="B19" s="26" t="s">
        <v>129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customFormat="1" x14ac:dyDescent="0.25">
      <c r="A20" s="26"/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customFormat="1" x14ac:dyDescent="0.25">
      <c r="A21" s="27" t="s">
        <v>138</v>
      </c>
      <c r="B21" s="2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customFormat="1" x14ac:dyDescent="0.25">
      <c r="A22" s="27" t="s">
        <v>123</v>
      </c>
      <c r="B22" s="26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customFormat="1" x14ac:dyDescent="0.25">
      <c r="A23" s="27" t="s">
        <v>139</v>
      </c>
      <c r="B23" s="26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customFormat="1" x14ac:dyDescent="0.25">
      <c r="A24" s="27" t="s">
        <v>124</v>
      </c>
      <c r="B24" s="26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customFormat="1" x14ac:dyDescent="0.25">
      <c r="A25" s="27" t="s">
        <v>125</v>
      </c>
      <c r="B25" s="2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customFormat="1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customFormat="1" ht="18.75" customHeight="1" x14ac:dyDescent="0.25">
      <c r="A27" s="1" t="s">
        <v>163</v>
      </c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 t="s">
        <v>135</v>
      </c>
    </row>
    <row r="28" spans="1:14" customFormat="1" ht="64.5" hidden="1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customFormat="1" ht="64.5" hidden="1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customFormat="1" ht="64.5" hidden="1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customFormat="1" ht="64.5" hidden="1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customFormat="1" ht="64.5" hidden="1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customFormat="1" ht="64.5" hidden="1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customFormat="1" ht="64.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customFormat="1" ht="64.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customFormat="1" ht="64.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customFormat="1" ht="64.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customFormat="1" ht="64.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customFormat="1" ht="64.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customFormat="1" ht="64.5" hidden="1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customFormat="1" ht="64.5" hidden="1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customFormat="1" ht="64.5" hidden="1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customFormat="1" ht="64.5" hidden="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customFormat="1" ht="64.5" hidden="1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customFormat="1" ht="64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customFormat="1" ht="64.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customFormat="1" ht="64.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customFormat="1" ht="64.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customFormat="1" ht="64.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customFormat="1" ht="64.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customFormat="1" ht="64.5" hidden="1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customFormat="1" ht="64.5" hidden="1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customFormat="1" ht="64.5" hidden="1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customFormat="1" ht="64.5" hidden="1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customFormat="1" ht="64.5" hidden="1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customFormat="1" ht="64.5" hidden="1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customFormat="1" ht="64.5" hidden="1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customFormat="1" ht="64.5" hidden="1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 customFormat="1" ht="64.5" hidden="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 customFormat="1" hidden="1" x14ac:dyDescent="0.25"/>
    <row r="61" spans="2:14" customFormat="1" hidden="1" x14ac:dyDescent="0.25"/>
    <row r="62" spans="2:14" customFormat="1" hidden="1" x14ac:dyDescent="0.25"/>
    <row r="63" spans="2:14" customFormat="1" hidden="1" x14ac:dyDescent="0.25"/>
    <row r="64" spans="2:14" x14ac:dyDescent="0.25"/>
    <row r="65" x14ac:dyDescent="0.25"/>
    <row r="66" x14ac:dyDescent="0.25"/>
    <row r="67" x14ac:dyDescent="0.25"/>
    <row r="68" x14ac:dyDescent="0.25"/>
  </sheetData>
  <sheetProtection algorithmName="SHA-512" hashValue="qybmKMpksWfYIVjW5E917FfUq0hEqZgWWPidoP7D5J8UaAYj9HKlkhdlbu7+XrtxhE33uBzP75abyMNxxzVqcQ==" saltValue="g5FuYUwyDdY+ppPNWTQfVw==" spinCount="100000" sheet="1" selectLockedCells="1"/>
  <mergeCells count="1">
    <mergeCell ref="A5:B5"/>
  </mergeCells>
  <pageMargins left="0.7" right="0.7" top="0.75" bottom="0.75" header="0.3" footer="0.3"/>
  <pageSetup paperSize="9" scale="5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200A-30B7-45D7-9C6D-4626CB49D9C9}">
  <sheetPr>
    <tabColor rgb="FFFFFF99"/>
  </sheetPr>
  <dimension ref="A1:F28"/>
  <sheetViews>
    <sheetView zoomScaleNormal="100" workbookViewId="0">
      <selection activeCell="A13" sqref="A13"/>
    </sheetView>
  </sheetViews>
  <sheetFormatPr defaultColWidth="0" defaultRowHeight="15" zeroHeight="1" x14ac:dyDescent="0.25"/>
  <cols>
    <col min="1" max="1" width="33.85546875" style="5" customWidth="1"/>
    <col min="2" max="2" width="11.140625" style="16" customWidth="1"/>
    <col min="3" max="4" width="10.85546875" style="16" customWidth="1"/>
    <col min="5" max="5" width="11.28515625" style="16" customWidth="1"/>
    <col min="6" max="6" width="11.7109375" style="16" customWidth="1"/>
    <col min="7" max="16384" width="9.140625" hidden="1"/>
  </cols>
  <sheetData>
    <row r="1" spans="1:6" x14ac:dyDescent="0.25">
      <c r="A1" s="6" t="s">
        <v>25</v>
      </c>
      <c r="B1" s="11" t="s">
        <v>26</v>
      </c>
      <c r="C1" s="11" t="s">
        <v>27</v>
      </c>
      <c r="D1" s="11" t="s">
        <v>28</v>
      </c>
      <c r="E1" s="11" t="s">
        <v>29</v>
      </c>
      <c r="F1" s="11" t="s">
        <v>30</v>
      </c>
    </row>
    <row r="2" spans="1:6" x14ac:dyDescent="0.25">
      <c r="A2" s="17" t="s">
        <v>31</v>
      </c>
      <c r="B2" s="18">
        <v>0.14399999999999999</v>
      </c>
      <c r="C2" s="18">
        <v>0.16400000000000001</v>
      </c>
      <c r="D2" s="18">
        <v>0.23100000000000001</v>
      </c>
      <c r="E2" s="18">
        <v>0.25600000000000001</v>
      </c>
      <c r="F2" s="18">
        <v>0.28399999999999997</v>
      </c>
    </row>
    <row r="3" spans="1:6" x14ac:dyDescent="0.25">
      <c r="A3" s="17" t="s">
        <v>32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</row>
    <row r="4" spans="1:6" x14ac:dyDescent="0.25">
      <c r="A4" s="8" t="s">
        <v>33</v>
      </c>
      <c r="B4" s="12">
        <v>0.14399999999999999</v>
      </c>
      <c r="C4" s="12">
        <v>0.16400000000000001</v>
      </c>
      <c r="D4" s="12">
        <v>0.23100000000000001</v>
      </c>
      <c r="E4" s="12">
        <v>0.25600000000000001</v>
      </c>
      <c r="F4" s="12">
        <v>0.28399999999999997</v>
      </c>
    </row>
    <row r="5" spans="1:6" x14ac:dyDescent="0.25">
      <c r="A5" s="7"/>
      <c r="B5" s="13"/>
      <c r="C5" s="13"/>
      <c r="D5" s="13"/>
      <c r="E5" s="13"/>
      <c r="F5" s="13"/>
    </row>
    <row r="6" spans="1:6" x14ac:dyDescent="0.25">
      <c r="A6" s="52" t="s">
        <v>155</v>
      </c>
      <c r="B6" s="53">
        <v>3.1E-2</v>
      </c>
      <c r="C6" s="53">
        <v>4.4999999999999998E-2</v>
      </c>
      <c r="D6" s="53">
        <v>5.8999999999999997E-2</v>
      </c>
      <c r="E6" s="53">
        <v>7.2999999999999995E-2</v>
      </c>
      <c r="F6" s="53">
        <v>8.7999999999999995E-2</v>
      </c>
    </row>
    <row r="7" spans="1:6" x14ac:dyDescent="0.25">
      <c r="A7" s="52" t="s">
        <v>34</v>
      </c>
      <c r="B7" s="54">
        <v>5.0000000000000001E-4</v>
      </c>
      <c r="C7" s="54">
        <v>8.0000000000000004E-4</v>
      </c>
      <c r="D7" s="54">
        <v>3.5999999999999999E-3</v>
      </c>
      <c r="E7" s="54">
        <v>7.3000000000000001E-3</v>
      </c>
      <c r="F7" s="54">
        <v>1.0699999999999999E-2</v>
      </c>
    </row>
    <row r="8" spans="1:6" ht="17.25" customHeight="1" x14ac:dyDescent="0.25">
      <c r="A8" s="52" t="s">
        <v>164</v>
      </c>
      <c r="B8" s="54">
        <v>0</v>
      </c>
      <c r="C8" s="54">
        <v>2.0000000000000001E-4</v>
      </c>
      <c r="D8" s="54">
        <v>1E-3</v>
      </c>
      <c r="E8" s="54">
        <v>2.3E-3</v>
      </c>
      <c r="F8" s="54">
        <v>3.8E-3</v>
      </c>
    </row>
    <row r="9" spans="1:6" x14ac:dyDescent="0.25">
      <c r="A9" s="55" t="s">
        <v>35</v>
      </c>
      <c r="B9" s="56">
        <v>1.2E-2</v>
      </c>
      <c r="C9" s="56">
        <v>1.2E-2</v>
      </c>
      <c r="D9" s="56">
        <v>1.2E-2</v>
      </c>
      <c r="E9" s="56">
        <v>1.2E-2</v>
      </c>
      <c r="F9" s="56">
        <v>1.2E-2</v>
      </c>
    </row>
    <row r="10" spans="1:6" x14ac:dyDescent="0.25">
      <c r="A10" s="55" t="s">
        <v>154</v>
      </c>
      <c r="B10" s="56">
        <v>4.2999999999999997E-2</v>
      </c>
      <c r="C10" s="56">
        <v>4.2999999999999997E-2</v>
      </c>
      <c r="D10" s="56">
        <v>4.2999999999999997E-2</v>
      </c>
      <c r="E10" s="56">
        <v>4.2999999999999997E-2</v>
      </c>
      <c r="F10" s="56">
        <v>4.2999999999999997E-2</v>
      </c>
    </row>
    <row r="11" spans="1:6" x14ac:dyDescent="0.25">
      <c r="A11" s="9"/>
      <c r="B11" s="14"/>
      <c r="C11" s="14"/>
      <c r="D11" s="14"/>
      <c r="E11" s="14"/>
      <c r="F11" s="14"/>
    </row>
    <row r="12" spans="1:6" x14ac:dyDescent="0.25">
      <c r="A12" s="10" t="s">
        <v>36</v>
      </c>
      <c r="B12" s="15" t="s">
        <v>26</v>
      </c>
      <c r="C12" s="15" t="s">
        <v>27</v>
      </c>
      <c r="D12" s="15" t="s">
        <v>28</v>
      </c>
      <c r="E12" s="15" t="s">
        <v>29</v>
      </c>
      <c r="F12" s="15" t="s">
        <v>30</v>
      </c>
    </row>
    <row r="13" spans="1:6" x14ac:dyDescent="0.25">
      <c r="A13" s="17" t="s">
        <v>31</v>
      </c>
      <c r="B13" s="18">
        <v>0.02</v>
      </c>
      <c r="C13" s="18">
        <v>3.3000000000000002E-2</v>
      </c>
      <c r="D13" s="18">
        <v>4.1000000000000002E-2</v>
      </c>
      <c r="E13" s="18">
        <v>4.9000000000000002E-2</v>
      </c>
      <c r="F13" s="18">
        <v>5.7000000000000002E-2</v>
      </c>
    </row>
    <row r="14" spans="1:6" x14ac:dyDescent="0.25">
      <c r="A14" s="17" t="s">
        <v>32</v>
      </c>
      <c r="B14" s="18">
        <v>8.9999999999999993E-3</v>
      </c>
      <c r="C14" s="18">
        <v>1.4999999999999999E-2</v>
      </c>
      <c r="D14" s="18">
        <v>1.7999999999999999E-2</v>
      </c>
      <c r="E14" s="18">
        <v>2.1999999999999999E-2</v>
      </c>
      <c r="F14" s="18">
        <v>2.5000000000000001E-2</v>
      </c>
    </row>
    <row r="15" spans="1:6" x14ac:dyDescent="0.25">
      <c r="A15" s="8" t="s">
        <v>33</v>
      </c>
      <c r="B15" s="12">
        <v>2.9000000000000001E-2</v>
      </c>
      <c r="C15" s="12">
        <v>4.8000000000000001E-2</v>
      </c>
      <c r="D15" s="12">
        <v>5.8999999999999997E-2</v>
      </c>
      <c r="E15" s="12">
        <v>7.0999999999999994E-2</v>
      </c>
      <c r="F15" s="12">
        <v>8.2000000000000003E-2</v>
      </c>
    </row>
    <row r="16" spans="1:6" x14ac:dyDescent="0.25">
      <c r="A16" s="7"/>
      <c r="B16" s="13"/>
      <c r="C16" s="13"/>
      <c r="D16" s="13"/>
      <c r="E16" s="13"/>
      <c r="F16" s="13"/>
    </row>
    <row r="17" spans="1:6" x14ac:dyDescent="0.25">
      <c r="A17" s="52" t="s">
        <v>34</v>
      </c>
      <c r="B17" s="54">
        <v>0</v>
      </c>
      <c r="C17" s="54">
        <v>2.0000000000000001E-4</v>
      </c>
      <c r="D17" s="54">
        <v>8.0000000000000004E-4</v>
      </c>
      <c r="E17" s="54">
        <v>1.6000000000000001E-3</v>
      </c>
      <c r="F17" s="54">
        <v>3.2000000000000002E-3</v>
      </c>
    </row>
    <row r="18" spans="1:6" x14ac:dyDescent="0.25">
      <c r="A18" s="55" t="s">
        <v>35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5">
      <c r="A19" s="55" t="s">
        <v>154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5">
      <c r="A20" s="9"/>
      <c r="B20" s="14"/>
      <c r="C20" s="14"/>
      <c r="D20" s="14"/>
      <c r="E20" s="14"/>
      <c r="F20" s="14"/>
    </row>
    <row r="21" spans="1:6" x14ac:dyDescent="0.25">
      <c r="A21" s="6" t="s">
        <v>37</v>
      </c>
      <c r="B21" s="11" t="s">
        <v>26</v>
      </c>
      <c r="C21" s="11" t="s">
        <v>27</v>
      </c>
      <c r="D21" s="11" t="s">
        <v>28</v>
      </c>
      <c r="E21" s="11" t="s">
        <v>29</v>
      </c>
      <c r="F21" s="11" t="s">
        <v>30</v>
      </c>
    </row>
    <row r="22" spans="1:6" x14ac:dyDescent="0.25">
      <c r="A22" s="17" t="s">
        <v>31</v>
      </c>
      <c r="B22" s="18">
        <v>0.02</v>
      </c>
      <c r="C22" s="18">
        <v>4.1000000000000002E-2</v>
      </c>
      <c r="D22" s="18">
        <v>6.0999999999999999E-2</v>
      </c>
      <c r="E22" s="18">
        <v>8.2000000000000003E-2</v>
      </c>
      <c r="F22" s="18">
        <v>0.11599999999999999</v>
      </c>
    </row>
    <row r="23" spans="1:6" x14ac:dyDescent="0.25">
      <c r="A23" s="17" t="s">
        <v>32</v>
      </c>
      <c r="B23" s="18">
        <v>5.0000000000000001E-3</v>
      </c>
      <c r="C23" s="18">
        <v>0.01</v>
      </c>
      <c r="D23" s="18">
        <v>1.4999999999999999E-2</v>
      </c>
      <c r="E23" s="18">
        <v>0.02</v>
      </c>
      <c r="F23" s="18">
        <v>2.8999999999999998E-2</v>
      </c>
    </row>
    <row r="24" spans="1:6" x14ac:dyDescent="0.25">
      <c r="A24" s="8" t="s">
        <v>33</v>
      </c>
      <c r="B24" s="12">
        <v>2.5000000000000001E-2</v>
      </c>
      <c r="C24" s="12">
        <v>5.0999999999999997E-2</v>
      </c>
      <c r="D24" s="12">
        <v>7.5999999999999998E-2</v>
      </c>
      <c r="E24" s="12">
        <v>0.10199999999999999</v>
      </c>
      <c r="F24" s="12">
        <v>0.14499999999999999</v>
      </c>
    </row>
    <row r="25" spans="1:6" x14ac:dyDescent="0.25">
      <c r="A25" s="7"/>
      <c r="B25" s="13"/>
      <c r="C25" s="13"/>
      <c r="D25" s="13"/>
      <c r="E25" s="13"/>
      <c r="F25" s="13"/>
    </row>
    <row r="26" spans="1:6" x14ac:dyDescent="0.25">
      <c r="A26" s="52" t="s">
        <v>34</v>
      </c>
      <c r="B26" s="54">
        <v>2.0000000000000001E-4</v>
      </c>
      <c r="C26" s="54">
        <v>4.0000000000000002E-4</v>
      </c>
      <c r="D26" s="54">
        <v>8.9999999999999998E-4</v>
      </c>
      <c r="E26" s="54">
        <v>1.6999999999999999E-3</v>
      </c>
      <c r="F26" s="54">
        <v>3.3999999999999998E-3</v>
      </c>
    </row>
    <row r="27" spans="1:6" x14ac:dyDescent="0.25">
      <c r="A27" s="55" t="s">
        <v>35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5">
      <c r="A28" s="55" t="s">
        <v>154</v>
      </c>
      <c r="B28" s="56">
        <v>0.111</v>
      </c>
      <c r="C28" s="56">
        <v>0.111</v>
      </c>
      <c r="D28" s="56">
        <v>0.111</v>
      </c>
      <c r="E28" s="56">
        <v>0.111</v>
      </c>
      <c r="F28" s="56">
        <v>0.111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06C5-7613-4955-91EE-4E6A4A353A80}">
  <sheetPr>
    <tabColor rgb="FFFFFF99"/>
  </sheetPr>
  <dimension ref="A1:T26"/>
  <sheetViews>
    <sheetView zoomScaleNormal="100" workbookViewId="0">
      <selection activeCell="C12" sqref="C12"/>
    </sheetView>
  </sheetViews>
  <sheetFormatPr defaultColWidth="0" defaultRowHeight="15" zeroHeight="1" x14ac:dyDescent="0.25"/>
  <cols>
    <col min="1" max="1" width="32.7109375" customWidth="1"/>
    <col min="2" max="2" width="20.140625" customWidth="1"/>
    <col min="3" max="6" width="19.42578125" customWidth="1"/>
    <col min="7" max="7" width="18.42578125" customWidth="1"/>
    <col min="8" max="20" width="0" hidden="1" customWidth="1"/>
    <col min="21" max="16384" width="9.140625" hidden="1"/>
  </cols>
  <sheetData>
    <row r="1" spans="1:7" x14ac:dyDescent="0.25">
      <c r="A1" s="113" t="s">
        <v>140</v>
      </c>
      <c r="B1" s="123" t="s">
        <v>185</v>
      </c>
      <c r="C1" s="123"/>
      <c r="D1" s="123"/>
      <c r="E1" s="123" t="s">
        <v>186</v>
      </c>
      <c r="F1" s="123"/>
      <c r="G1" s="123"/>
    </row>
    <row r="2" spans="1:7" x14ac:dyDescent="0.25">
      <c r="A2" s="114" t="s">
        <v>0</v>
      </c>
      <c r="B2" s="115" t="s">
        <v>150</v>
      </c>
      <c r="C2" s="115" t="s">
        <v>151</v>
      </c>
      <c r="D2" s="115" t="s">
        <v>152</v>
      </c>
      <c r="E2" s="115" t="s">
        <v>150</v>
      </c>
      <c r="F2" s="115" t="s">
        <v>151</v>
      </c>
      <c r="G2" s="115" t="s">
        <v>152</v>
      </c>
    </row>
    <row r="3" spans="1:7" x14ac:dyDescent="0.25">
      <c r="A3" s="116" t="s">
        <v>4</v>
      </c>
      <c r="B3" s="117">
        <v>36</v>
      </c>
      <c r="C3" s="116">
        <v>43</v>
      </c>
      <c r="D3" s="118">
        <v>1</v>
      </c>
      <c r="E3" s="117">
        <v>36</v>
      </c>
      <c r="F3" s="116">
        <v>43</v>
      </c>
      <c r="G3" s="118">
        <v>1</v>
      </c>
    </row>
    <row r="4" spans="1:7" x14ac:dyDescent="0.25">
      <c r="A4" s="116" t="s">
        <v>11</v>
      </c>
      <c r="B4" s="117">
        <v>33</v>
      </c>
      <c r="C4" s="116">
        <v>37</v>
      </c>
      <c r="D4" s="118">
        <v>1</v>
      </c>
      <c r="E4" s="117">
        <v>33</v>
      </c>
      <c r="F4" s="116">
        <v>37</v>
      </c>
      <c r="G4" s="118">
        <v>1</v>
      </c>
    </row>
    <row r="5" spans="1:7" x14ac:dyDescent="0.25">
      <c r="A5" s="116" t="s">
        <v>41</v>
      </c>
      <c r="B5" s="117">
        <v>34</v>
      </c>
      <c r="C5" s="116">
        <v>38</v>
      </c>
      <c r="D5" s="118">
        <v>1</v>
      </c>
      <c r="E5" s="117">
        <v>34</v>
      </c>
      <c r="F5" s="116">
        <v>38</v>
      </c>
      <c r="G5" s="118">
        <v>1</v>
      </c>
    </row>
    <row r="6" spans="1:7" x14ac:dyDescent="0.25">
      <c r="A6" s="116" t="s">
        <v>12</v>
      </c>
      <c r="B6" s="117">
        <v>34</v>
      </c>
      <c r="C6" s="116">
        <v>44</v>
      </c>
      <c r="D6" s="118">
        <v>1</v>
      </c>
      <c r="E6" s="119">
        <v>36</v>
      </c>
      <c r="F6" s="119">
        <v>43</v>
      </c>
      <c r="G6" s="118">
        <v>1</v>
      </c>
    </row>
    <row r="7" spans="1:7" x14ac:dyDescent="0.25">
      <c r="A7" s="116" t="s">
        <v>7</v>
      </c>
      <c r="B7" s="117">
        <v>32</v>
      </c>
      <c r="C7" s="116">
        <v>43</v>
      </c>
      <c r="D7" s="118">
        <v>1</v>
      </c>
      <c r="E7" s="117">
        <v>32</v>
      </c>
      <c r="F7" s="116">
        <v>43</v>
      </c>
      <c r="G7" s="118">
        <v>1</v>
      </c>
    </row>
    <row r="8" spans="1:7" x14ac:dyDescent="0.25">
      <c r="A8" s="116" t="s">
        <v>13</v>
      </c>
      <c r="B8" s="117">
        <v>21</v>
      </c>
      <c r="C8" s="116">
        <v>27</v>
      </c>
      <c r="D8" s="118">
        <v>1</v>
      </c>
      <c r="E8" s="117">
        <v>21</v>
      </c>
      <c r="F8" s="116">
        <v>27</v>
      </c>
      <c r="G8" s="118">
        <v>1</v>
      </c>
    </row>
    <row r="9" spans="1:7" x14ac:dyDescent="0.25">
      <c r="A9" s="116" t="s">
        <v>14</v>
      </c>
      <c r="B9" s="117">
        <v>30</v>
      </c>
      <c r="C9" s="116">
        <v>45</v>
      </c>
      <c r="D9" s="118">
        <v>1</v>
      </c>
      <c r="E9" s="117">
        <v>30</v>
      </c>
      <c r="F9" s="116">
        <v>45</v>
      </c>
      <c r="G9" s="118">
        <v>1</v>
      </c>
    </row>
    <row r="10" spans="1:7" x14ac:dyDescent="0.25">
      <c r="A10" s="116" t="s">
        <v>15</v>
      </c>
      <c r="B10" s="117">
        <v>27</v>
      </c>
      <c r="C10" s="116">
        <v>36</v>
      </c>
      <c r="D10" s="118">
        <v>1</v>
      </c>
      <c r="E10" s="117">
        <v>27</v>
      </c>
      <c r="F10" s="116">
        <v>36</v>
      </c>
      <c r="G10" s="118">
        <v>1</v>
      </c>
    </row>
    <row r="11" spans="1:7" x14ac:dyDescent="0.25">
      <c r="A11" s="116" t="s">
        <v>203</v>
      </c>
      <c r="B11" s="110" t="s">
        <v>149</v>
      </c>
      <c r="C11" s="110" t="s">
        <v>149</v>
      </c>
      <c r="D11" s="118">
        <v>1</v>
      </c>
      <c r="E11" s="110" t="s">
        <v>149</v>
      </c>
      <c r="F11" s="110" t="s">
        <v>149</v>
      </c>
      <c r="G11" s="118">
        <v>1</v>
      </c>
    </row>
    <row r="12" spans="1:7" x14ac:dyDescent="0.25">
      <c r="A12" s="116" t="s">
        <v>16</v>
      </c>
      <c r="B12" s="110" t="s">
        <v>149</v>
      </c>
      <c r="C12" s="110" t="s">
        <v>149</v>
      </c>
      <c r="D12" s="118">
        <v>1</v>
      </c>
      <c r="E12" s="110" t="s">
        <v>149</v>
      </c>
      <c r="F12" s="110" t="s">
        <v>149</v>
      </c>
      <c r="G12" s="118">
        <v>1</v>
      </c>
    </row>
    <row r="13" spans="1:7" x14ac:dyDescent="0.25">
      <c r="A13" s="116" t="s">
        <v>199</v>
      </c>
      <c r="B13" s="110" t="s">
        <v>149</v>
      </c>
      <c r="C13" s="58">
        <v>40.5</v>
      </c>
      <c r="D13" s="118"/>
      <c r="E13" s="110" t="s">
        <v>149</v>
      </c>
      <c r="F13" s="58">
        <v>40.5</v>
      </c>
      <c r="G13" s="118"/>
    </row>
    <row r="14" spans="1:7" x14ac:dyDescent="0.25">
      <c r="A14" s="116" t="s">
        <v>200</v>
      </c>
      <c r="B14" s="110" t="s">
        <v>149</v>
      </c>
      <c r="C14" s="58">
        <v>41</v>
      </c>
      <c r="D14" s="118"/>
      <c r="E14" s="110" t="s">
        <v>149</v>
      </c>
      <c r="F14" s="58">
        <v>41</v>
      </c>
      <c r="G14" s="118"/>
    </row>
    <row r="15" spans="1:7" x14ac:dyDescent="0.25">
      <c r="A15" s="116" t="s">
        <v>201</v>
      </c>
      <c r="B15" s="110" t="s">
        <v>149</v>
      </c>
      <c r="C15" s="58">
        <v>42.7</v>
      </c>
      <c r="D15" s="118"/>
      <c r="E15" s="110" t="s">
        <v>149</v>
      </c>
      <c r="F15" s="58">
        <v>42.7</v>
      </c>
      <c r="G15" s="118"/>
    </row>
    <row r="16" spans="1:7" x14ac:dyDescent="0.25">
      <c r="A16" s="116" t="s">
        <v>202</v>
      </c>
      <c r="B16" s="110" t="s">
        <v>149</v>
      </c>
      <c r="C16" s="58">
        <v>42.7</v>
      </c>
      <c r="D16" s="118"/>
      <c r="E16" s="110" t="s">
        <v>149</v>
      </c>
      <c r="F16" s="58">
        <v>42.7</v>
      </c>
      <c r="G16" s="118"/>
    </row>
    <row r="17" spans="1:7" x14ac:dyDescent="0.25">
      <c r="A17" s="116" t="s">
        <v>9</v>
      </c>
      <c r="B17" s="117"/>
      <c r="C17" s="117">
        <v>50</v>
      </c>
      <c r="D17" s="118">
        <v>1</v>
      </c>
      <c r="E17" s="117"/>
      <c r="F17" s="117">
        <v>50</v>
      </c>
      <c r="G17" s="118">
        <v>1</v>
      </c>
    </row>
    <row r="18" spans="1:7" x14ac:dyDescent="0.25">
      <c r="A18" s="116" t="s">
        <v>17</v>
      </c>
      <c r="B18" s="117"/>
      <c r="C18" s="117">
        <v>120</v>
      </c>
      <c r="D18" s="118">
        <v>1</v>
      </c>
      <c r="E18" s="117"/>
      <c r="F18" s="117">
        <v>120</v>
      </c>
      <c r="G18" s="118">
        <v>1</v>
      </c>
    </row>
    <row r="19" spans="1:7" x14ac:dyDescent="0.25">
      <c r="A19" s="116" t="s">
        <v>18</v>
      </c>
      <c r="B19" s="117">
        <v>16</v>
      </c>
      <c r="C19" s="117"/>
      <c r="D19" s="118">
        <v>1</v>
      </c>
      <c r="E19" s="117">
        <v>16</v>
      </c>
      <c r="F19" s="117"/>
      <c r="G19" s="118">
        <v>1</v>
      </c>
    </row>
    <row r="20" spans="1:7" x14ac:dyDescent="0.25">
      <c r="A20" s="116" t="s">
        <v>40</v>
      </c>
      <c r="B20" s="117">
        <v>26</v>
      </c>
      <c r="C20" s="117">
        <v>35</v>
      </c>
      <c r="D20" s="118">
        <v>1</v>
      </c>
      <c r="E20" s="117">
        <v>26</v>
      </c>
      <c r="F20" s="117">
        <v>35</v>
      </c>
      <c r="G20" s="118">
        <v>1</v>
      </c>
    </row>
    <row r="21" spans="1:7" x14ac:dyDescent="0.25">
      <c r="A21" s="116" t="s">
        <v>8</v>
      </c>
      <c r="B21" s="117"/>
      <c r="C21" s="117">
        <v>46</v>
      </c>
      <c r="D21" s="118">
        <v>1</v>
      </c>
      <c r="E21" s="117"/>
      <c r="F21" s="117">
        <v>46</v>
      </c>
      <c r="G21" s="118">
        <v>1</v>
      </c>
    </row>
    <row r="22" spans="1:7" x14ac:dyDescent="0.25">
      <c r="A22" s="116" t="s">
        <v>10</v>
      </c>
      <c r="B22" s="117"/>
      <c r="C22" s="117">
        <v>37.979999999999997</v>
      </c>
      <c r="D22" s="118">
        <v>1</v>
      </c>
      <c r="E22" s="117"/>
      <c r="F22" s="117">
        <v>37.979999999999997</v>
      </c>
      <c r="G22" s="118">
        <v>1</v>
      </c>
    </row>
    <row r="23" spans="1:7" x14ac:dyDescent="0.25">
      <c r="A23" s="116" t="s">
        <v>42</v>
      </c>
      <c r="B23" s="117"/>
      <c r="C23" s="117">
        <v>46</v>
      </c>
      <c r="D23" s="118">
        <v>1</v>
      </c>
      <c r="E23" s="117"/>
      <c r="F23" s="117">
        <v>46</v>
      </c>
      <c r="G23" s="118">
        <v>1</v>
      </c>
    </row>
    <row r="24" spans="1:7" x14ac:dyDescent="0.25">
      <c r="A24" s="116" t="s">
        <v>43</v>
      </c>
      <c r="B24" s="110" t="s">
        <v>149</v>
      </c>
      <c r="C24" s="110" t="s">
        <v>149</v>
      </c>
      <c r="D24" s="118">
        <v>1</v>
      </c>
      <c r="E24" s="110" t="s">
        <v>149</v>
      </c>
      <c r="F24" s="110" t="s">
        <v>149</v>
      </c>
      <c r="G24" s="118">
        <v>1</v>
      </c>
    </row>
    <row r="25" spans="1:7" x14ac:dyDescent="0.25">
      <c r="A25" s="116" t="s">
        <v>71</v>
      </c>
      <c r="B25" s="116"/>
      <c r="C25" s="116"/>
      <c r="D25" s="118">
        <v>1</v>
      </c>
      <c r="E25" s="116"/>
      <c r="F25" s="116"/>
      <c r="G25" s="118">
        <v>1</v>
      </c>
    </row>
    <row r="26" spans="1:7" x14ac:dyDescent="0.25">
      <c r="A26" s="1"/>
      <c r="B26" s="1"/>
      <c r="C26" s="1"/>
      <c r="D26" s="1"/>
      <c r="E26" s="1"/>
      <c r="F26" s="1"/>
      <c r="G26" s="1"/>
    </row>
  </sheetData>
  <sheetProtection algorithmName="SHA-512" hashValue="tSHjj73rsocBUz8BTNQbNuUwMqXm3fQsIQ5nFsSPXB9tuU35gGtHPQsyRCBGZ3ynP9HGpwwb1y6H5Sn8P0MJdw==" saltValue="S0IBBn59j48U5a4cDvZEww==" spinCount="100000" sheet="1" objects="1" scenarios="1"/>
  <mergeCells count="2">
    <mergeCell ref="B1:D1"/>
    <mergeCell ref="E1:G1"/>
  </mergeCells>
  <phoneticPr fontId="1" type="noConversion"/>
  <pageMargins left="0.7" right="0.7" top="0.75" bottom="0.75" header="0.3" footer="0.3"/>
  <pageSetup paperSize="9" scale="7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66C3-E7C8-41BD-9DE0-0B4EFDDE9F7B}">
  <sheetPr>
    <tabColor theme="0"/>
  </sheetPr>
  <dimension ref="A1:XFC34"/>
  <sheetViews>
    <sheetView zoomScaleNormal="100" workbookViewId="0">
      <selection activeCell="J31" sqref="J31"/>
    </sheetView>
  </sheetViews>
  <sheetFormatPr defaultColWidth="0" defaultRowHeight="12.75" zeroHeight="1" x14ac:dyDescent="0.2"/>
  <cols>
    <col min="1" max="1" width="14.28515625" style="59" customWidth="1"/>
    <col min="2" max="2" width="15.42578125" style="59" customWidth="1"/>
    <col min="3" max="3" width="13.5703125" style="59" customWidth="1"/>
    <col min="4" max="4" width="17.140625" style="58" customWidth="1"/>
    <col min="5" max="5" width="16.140625" style="24" customWidth="1"/>
    <col min="6" max="6" width="15.7109375" style="24" customWidth="1"/>
    <col min="7" max="7" width="10.5703125" style="24" customWidth="1"/>
    <col min="8" max="8" width="19.7109375" style="59" customWidth="1"/>
    <col min="9" max="10" width="19.5703125" style="24" customWidth="1"/>
    <col min="11" max="11" width="30.140625" style="24" customWidth="1"/>
    <col min="12" max="12" width="22.140625" style="59" customWidth="1"/>
    <col min="13" max="13" width="19.28515625" style="24" customWidth="1"/>
    <col min="14" max="15" width="0" style="24" hidden="1" customWidth="1"/>
    <col min="16" max="16383" width="9.140625" style="24" hidden="1"/>
    <col min="16384" max="16384" width="1.140625" style="24" customWidth="1"/>
  </cols>
  <sheetData>
    <row r="1" spans="1:13" ht="71.25" customHeight="1" x14ac:dyDescent="0.2">
      <c r="A1" s="23" t="s">
        <v>0</v>
      </c>
      <c r="B1" s="23" t="s">
        <v>1</v>
      </c>
      <c r="C1" s="23" t="s">
        <v>2</v>
      </c>
      <c r="D1" s="23" t="s">
        <v>153</v>
      </c>
      <c r="E1" s="23" t="s">
        <v>20</v>
      </c>
      <c r="F1" s="23" t="s">
        <v>118</v>
      </c>
      <c r="G1" s="23" t="s">
        <v>3</v>
      </c>
      <c r="H1" s="23" t="s">
        <v>145</v>
      </c>
      <c r="I1" s="23" t="s">
        <v>147</v>
      </c>
      <c r="J1" s="23" t="s">
        <v>197</v>
      </c>
      <c r="K1" s="23" t="s">
        <v>119</v>
      </c>
      <c r="L1" s="23" t="s">
        <v>146</v>
      </c>
      <c r="M1" s="23" t="s">
        <v>148</v>
      </c>
    </row>
    <row r="2" spans="1:13" x14ac:dyDescent="0.2">
      <c r="A2" s="58"/>
      <c r="B2" s="58"/>
      <c r="C2" s="58"/>
      <c r="E2" s="25" t="str">
        <f>IF(OR(A2="LNG",A2="LPG",A2="CNG",A2="Waterstof",A2="Elektriciteit",C2="Raffinage"),"Nee",IF(A2="Anders","Zelf invullen","Ja"))</f>
        <v>Ja</v>
      </c>
      <c r="F2" s="87"/>
      <c r="G2" s="58"/>
      <c r="H2" s="89" t="e">
        <f>VLOOKUP(A2,'Eenheid - Brandstoffen'!$A$3:$D$25,IF(G2="liter",2,IF(G2="kg",3,4)),FALSE)</f>
        <v>#N/A</v>
      </c>
      <c r="I2" s="88" t="e">
        <f t="shared" ref="I2:I34" si="0">F2*H2</f>
        <v>#N/A</v>
      </c>
      <c r="J2" s="58"/>
      <c r="K2" s="88" t="e">
        <f>IF(B2="Elektriciteit",ROUNDDOWN(((183-J2)*I2),0)/1000,IF(B2="Fossiel","Geen ERE's uit fossiel",IF(AND(B2="RFNBO",J2&gt;(28.2)),"Voldoet niet aan reductie eis", IF(J2&gt;32.9,"Voldoet niet aan reductie eis", IF(AND(C2="Binnenvaart",B2="Conventioneel"),"Niet inboekbaar in sector",IF(AND(C2="Zeevaart",B2="Conventioneel"),"Niet inboekbaar in sector",IF(AND(C2="Zeevaart",B2="Bijlage IXb"),"Niet inboekbaar in sector",ROUNDDOWN(((94-J2)*I2)/1000,0)   )))))))</f>
        <v>#N/A</v>
      </c>
      <c r="L2" s="89" t="e">
        <f>IF(E2="Nee","Geen verplichting",IF(D2="Nee",VLOOKUP(A2,'Eenheid - Brandstoffen'!$A$3:$G$25,IF(G2="liter",5,IF(G2="kg",6,7)),FALSE),VLOOKUP(D2,'Eenheid - Brandstoffen'!$A$3:$G$25,IF(G2="liter",5,IF(G2="kg",6,7)),FALSE)))</f>
        <v>#N/A</v>
      </c>
      <c r="M2" s="88" t="e">
        <f t="shared" ref="M2:M34" si="1">IF(L2="Geen verplichting",L2,F2*L2)</f>
        <v>#N/A</v>
      </c>
    </row>
    <row r="3" spans="1:13" x14ac:dyDescent="0.2">
      <c r="A3" s="58"/>
      <c r="B3" s="58"/>
      <c r="C3" s="58"/>
      <c r="E3" s="25" t="str">
        <f t="shared" ref="E3:E34" si="2">IF(OR(A3="LNG",A3="LPG",A3="CNG",A3="Waterstof",A3="Elektriciteit"),"Nee",IF(A3="Anders","Zelf invullen","Ja"))</f>
        <v>Ja</v>
      </c>
      <c r="F3" s="87"/>
      <c r="G3" s="58"/>
      <c r="H3" s="89" t="e">
        <f>VLOOKUP(A3,'Eenheid - Brandstoffen'!$A$3:$D$25,IF(G3="liter",2,IF(G3="kg",3,4)),FALSE)</f>
        <v>#N/A</v>
      </c>
      <c r="I3" s="88" t="e">
        <f>F3*H3</f>
        <v>#N/A</v>
      </c>
      <c r="J3" s="58"/>
      <c r="K3" s="88" t="e">
        <f t="shared" ref="K3:K34" si="3">IF(B3="Elektriciteit",ROUNDDOWN(((183-J3)*I3),0)/1000,IF(B3="Fossiel","Geen ERE's uit fossiel",IF(AND(B3="RFNBO",J3&gt;(28.2)),"Voldoet niet aan reductie eis", IF(J3&gt;32.9,"Voldoet niet aan reductie eis", IF(AND(C3="Binnenvaart",B3="Conventioneel"),"Niet inboekbaar in sector",IF(AND(C3="Zeevaart",B3="Conventioneel"),"Niet inboekbaar in sector",IF(AND(C3="Zeevaart",B3="Bijlage IXb"),"Niet inboekbaar in sector",ROUNDDOWN(((94-J3)*I3)/1000,0)   )))))))</f>
        <v>#N/A</v>
      </c>
      <c r="L3" s="89" t="e">
        <f>IF(E3="Nee","Geen verplichting",IF(D3="Nee",VLOOKUP(A3,'Eenheid - Brandstoffen'!$A$3:$G$25,IF(G3="liter",5,IF(G3="kg",6,7)),FALSE),VLOOKUP(D3,'Eenheid - Brandstoffen'!$A$3:$G$25,IF(G3="liter",5,IF(G3="kg",6,7)),FALSE)))</f>
        <v>#N/A</v>
      </c>
      <c r="M3" s="88" t="e">
        <f t="shared" si="1"/>
        <v>#N/A</v>
      </c>
    </row>
    <row r="4" spans="1:13" x14ac:dyDescent="0.2">
      <c r="A4" s="58"/>
      <c r="B4" s="58"/>
      <c r="C4" s="58"/>
      <c r="E4" s="25" t="str">
        <f t="shared" si="2"/>
        <v>Ja</v>
      </c>
      <c r="F4" s="87"/>
      <c r="G4" s="58"/>
      <c r="H4" s="89" t="e">
        <f>VLOOKUP(A4,'Eenheid - Brandstoffen'!$A$3:$D$25,IF(G4="liter",2,IF(G4="kg",3,4)),FALSE)</f>
        <v>#N/A</v>
      </c>
      <c r="I4" s="88" t="e">
        <f t="shared" si="0"/>
        <v>#N/A</v>
      </c>
      <c r="J4" s="58"/>
      <c r="K4" s="88" t="e">
        <f t="shared" si="3"/>
        <v>#N/A</v>
      </c>
      <c r="L4" s="89" t="e">
        <f>IF(E4="Nee","Geen verplichting",IF(D4="Nee",VLOOKUP(A4,'Eenheid - Brandstoffen'!$A$3:$G$25,IF(G4="liter",5,IF(G4="kg",6,7)),FALSE),VLOOKUP(D4,'Eenheid - Brandstoffen'!$A$3:$G$25,IF(G4="liter",5,IF(G4="kg",6,7)),FALSE)))</f>
        <v>#N/A</v>
      </c>
      <c r="M4" s="88" t="e">
        <f>IF(L4="Geen verplichting",L4,F4*L4)</f>
        <v>#N/A</v>
      </c>
    </row>
    <row r="5" spans="1:13" x14ac:dyDescent="0.2">
      <c r="A5" s="58"/>
      <c r="B5" s="58"/>
      <c r="C5" s="58"/>
      <c r="E5" s="25" t="str">
        <f t="shared" si="2"/>
        <v>Ja</v>
      </c>
      <c r="F5" s="87"/>
      <c r="G5" s="58"/>
      <c r="H5" s="89" t="e">
        <f>VLOOKUP(A5,'Eenheid - Brandstoffen'!$A$3:$D$25,IF(G5="liter",2,IF(G5="kg",3,4)),FALSE)</f>
        <v>#N/A</v>
      </c>
      <c r="I5" s="88" t="e">
        <f t="shared" si="0"/>
        <v>#N/A</v>
      </c>
      <c r="J5" s="58"/>
      <c r="K5" s="88" t="e">
        <f t="shared" si="3"/>
        <v>#N/A</v>
      </c>
      <c r="L5" s="89" t="e">
        <f>IF(E5="Nee","Geen verplichting",IF(D5="Nee",VLOOKUP(A5,'Eenheid - Brandstoffen'!$A$3:$G$25,IF(G5="liter",5,IF(G5="kg",6,7)),FALSE),VLOOKUP(D5,'Eenheid - Brandstoffen'!$A$3:$G$25,IF(G5="liter",5,IF(G5="kg",6,7)),FALSE)))</f>
        <v>#N/A</v>
      </c>
      <c r="M5" s="88" t="e">
        <f>IF(L5="Geen verplichting",L5,F5*L5)</f>
        <v>#N/A</v>
      </c>
    </row>
    <row r="6" spans="1:13" x14ac:dyDescent="0.2">
      <c r="A6" s="58"/>
      <c r="B6" s="58"/>
      <c r="C6" s="58"/>
      <c r="E6" s="25" t="str">
        <f t="shared" si="2"/>
        <v>Ja</v>
      </c>
      <c r="F6" s="87"/>
      <c r="G6" s="58"/>
      <c r="H6" s="89" t="e">
        <f>VLOOKUP(A6,'Eenheid - Brandstoffen'!$A$3:$D$25,IF(G6="liter",2,IF(G6="kg",3,4)),FALSE)</f>
        <v>#N/A</v>
      </c>
      <c r="I6" s="88" t="e">
        <f t="shared" si="0"/>
        <v>#N/A</v>
      </c>
      <c r="J6" s="58"/>
      <c r="K6" s="88" t="e">
        <f t="shared" si="3"/>
        <v>#N/A</v>
      </c>
      <c r="L6" s="89" t="e">
        <f>IF(E6="Nee","Geen verplichting",IF(D6="Nee",VLOOKUP(A6,'Eenheid - Brandstoffen'!$A$3:$G$25,IF(G6="liter",5,IF(G6="kg",6,7)),FALSE),VLOOKUP(D6,'Eenheid - Brandstoffen'!$A$3:$G$25,IF(G6="liter",5,IF(G6="kg",6,7)),FALSE)))</f>
        <v>#N/A</v>
      </c>
      <c r="M6" s="88" t="e">
        <f t="shared" si="1"/>
        <v>#N/A</v>
      </c>
    </row>
    <row r="7" spans="1:13" x14ac:dyDescent="0.2">
      <c r="A7" s="58"/>
      <c r="B7" s="58"/>
      <c r="C7" s="58"/>
      <c r="E7" s="25" t="str">
        <f t="shared" ref="E7:E8" si="4">IF(OR(A7="LNG",A7="LPG",A7="CNG",A7="Waterstof",A7="Elektriciteit"),"Nee",IF(A7="Anders","Zelf invullen","Ja"))</f>
        <v>Ja</v>
      </c>
      <c r="F7" s="87"/>
      <c r="G7" s="58"/>
      <c r="H7" s="89" t="e">
        <f>VLOOKUP(A7,'Eenheid - Brandstoffen'!$A$3:$D$25,IF(G7="liter",2,IF(G7="kg",3,4)),FALSE)</f>
        <v>#N/A</v>
      </c>
      <c r="I7" s="88" t="e">
        <f t="shared" si="0"/>
        <v>#N/A</v>
      </c>
      <c r="J7" s="58"/>
      <c r="K7" s="88" t="e">
        <f t="shared" si="3"/>
        <v>#N/A</v>
      </c>
      <c r="L7" s="89" t="e">
        <f>IF(E7="Nee","Geen verplichting",IF(D7="Nee",VLOOKUP(A7,'Eenheid - Brandstoffen'!$A$3:$G$25,IF(G7="liter",5,IF(G7="kg",6,7)),FALSE),VLOOKUP(D7,'Eenheid - Brandstoffen'!$A$3:$G$25,IF(G7="liter",5,IF(G7="kg",6,7)),FALSE)))</f>
        <v>#N/A</v>
      </c>
      <c r="M7" s="88" t="e">
        <f t="shared" si="1"/>
        <v>#N/A</v>
      </c>
    </row>
    <row r="8" spans="1:13" x14ac:dyDescent="0.2">
      <c r="A8" s="58"/>
      <c r="B8" s="58"/>
      <c r="C8" s="58"/>
      <c r="E8" s="25" t="str">
        <f t="shared" si="4"/>
        <v>Ja</v>
      </c>
      <c r="F8" s="87"/>
      <c r="G8" s="58"/>
      <c r="H8" s="89" t="e">
        <f>VLOOKUP(A8,'Eenheid - Brandstoffen'!$A$3:$D$25,IF(G8="liter",2,IF(G8="kg",3,4)),FALSE)</f>
        <v>#N/A</v>
      </c>
      <c r="I8" s="88" t="e">
        <f t="shared" si="0"/>
        <v>#N/A</v>
      </c>
      <c r="J8" s="58"/>
      <c r="K8" s="88" t="e">
        <f t="shared" si="3"/>
        <v>#N/A</v>
      </c>
      <c r="L8" s="89" t="e">
        <f>IF(E8="Nee","Geen verplichting",IF(D8="Nee",VLOOKUP(A8,'Eenheid - Brandstoffen'!$A$3:$G$25,IF(G8="liter",5,IF(G8="kg",6,7)),FALSE),VLOOKUP(D8,'Eenheid - Brandstoffen'!$A$3:$G$25,IF(G8="liter",5,IF(G8="kg",6,7)),FALSE)))</f>
        <v>#N/A</v>
      </c>
      <c r="M8" s="88" t="e">
        <f t="shared" si="1"/>
        <v>#N/A</v>
      </c>
    </row>
    <row r="9" spans="1:13" x14ac:dyDescent="0.2">
      <c r="A9" s="58"/>
      <c r="B9" s="58"/>
      <c r="C9" s="58"/>
      <c r="E9" s="25" t="str">
        <f t="shared" si="2"/>
        <v>Ja</v>
      </c>
      <c r="F9" s="87"/>
      <c r="G9" s="58"/>
      <c r="H9" s="89" t="e">
        <f>VLOOKUP(A9,'Eenheid - Brandstoffen'!$A$3:$D$25,IF(G9="liter",2,IF(G9="kg",3,4)),FALSE)</f>
        <v>#N/A</v>
      </c>
      <c r="I9" s="88" t="e">
        <f t="shared" si="0"/>
        <v>#N/A</v>
      </c>
      <c r="J9" s="58"/>
      <c r="K9" s="88" t="e">
        <f t="shared" si="3"/>
        <v>#N/A</v>
      </c>
      <c r="L9" s="89" t="e">
        <f>IF(E9="Nee","Geen verplichting",IF(D9="Nee",VLOOKUP(A9,'Eenheid - Brandstoffen'!$A$3:$G$25,IF(G9="liter",5,IF(G9="kg",6,7)),FALSE),VLOOKUP(D9,'Eenheid - Brandstoffen'!$A$3:$G$25,IF(G9="liter",5,IF(G9="kg",6,7)),FALSE)))</f>
        <v>#N/A</v>
      </c>
      <c r="M9" s="88" t="e">
        <f t="shared" si="1"/>
        <v>#N/A</v>
      </c>
    </row>
    <row r="10" spans="1:13" x14ac:dyDescent="0.2">
      <c r="A10" s="58"/>
      <c r="B10" s="58"/>
      <c r="C10" s="58"/>
      <c r="E10" s="25" t="str">
        <f t="shared" si="2"/>
        <v>Ja</v>
      </c>
      <c r="F10" s="87"/>
      <c r="G10" s="58"/>
      <c r="H10" s="89" t="e">
        <f>VLOOKUP(A10,'Eenheid - Brandstoffen'!$A$3:$D$25,IF(G10="liter",2,IF(G10="kg",3,4)),FALSE)</f>
        <v>#N/A</v>
      </c>
      <c r="I10" s="88" t="e">
        <f t="shared" si="0"/>
        <v>#N/A</v>
      </c>
      <c r="J10" s="58"/>
      <c r="K10" s="88" t="e">
        <f t="shared" si="3"/>
        <v>#N/A</v>
      </c>
      <c r="L10" s="89" t="e">
        <f>IF(E10="Nee","Geen verplichting",IF(D10="Nee",VLOOKUP(A10,'Eenheid - Brandstoffen'!$A$3:$G$25,IF(G10="liter",5,IF(G10="kg",6,7)),FALSE),VLOOKUP(D10,'Eenheid - Brandstoffen'!$A$3:$G$25,IF(G10="liter",5,IF(G10="kg",6,7)),FALSE)))</f>
        <v>#N/A</v>
      </c>
      <c r="M10" s="88" t="e">
        <f t="shared" si="1"/>
        <v>#N/A</v>
      </c>
    </row>
    <row r="11" spans="1:13" x14ac:dyDescent="0.2">
      <c r="A11" s="58"/>
      <c r="B11" s="58"/>
      <c r="C11" s="58"/>
      <c r="E11" s="25" t="str">
        <f t="shared" si="2"/>
        <v>Ja</v>
      </c>
      <c r="F11" s="87"/>
      <c r="G11" s="58"/>
      <c r="H11" s="89" t="e">
        <f>VLOOKUP(A11,'Eenheid - Brandstoffen'!$A$3:$D$25,IF(G11="liter",2,IF(G11="kg",3,4)),FALSE)</f>
        <v>#N/A</v>
      </c>
      <c r="I11" s="88" t="e">
        <f t="shared" si="0"/>
        <v>#N/A</v>
      </c>
      <c r="J11" s="58"/>
      <c r="K11" s="88" t="e">
        <f t="shared" si="3"/>
        <v>#N/A</v>
      </c>
      <c r="L11" s="89" t="e">
        <f>IF(E11="Nee","Geen verplichting",IF(D11="Nee",VLOOKUP(A11,'Eenheid - Brandstoffen'!$A$3:$G$25,IF(G11="liter",5,IF(G11="kg",6,7)),FALSE),VLOOKUP(D11,'Eenheid - Brandstoffen'!$A$3:$G$25,IF(G11="liter",5,IF(G11="kg",6,7)),FALSE)))</f>
        <v>#N/A</v>
      </c>
      <c r="M11" s="88" t="e">
        <f t="shared" si="1"/>
        <v>#N/A</v>
      </c>
    </row>
    <row r="12" spans="1:13" x14ac:dyDescent="0.2">
      <c r="A12" s="58"/>
      <c r="B12" s="58"/>
      <c r="C12" s="58"/>
      <c r="E12" s="25" t="str">
        <f t="shared" si="2"/>
        <v>Ja</v>
      </c>
      <c r="F12" s="87"/>
      <c r="G12" s="58"/>
      <c r="H12" s="89" t="e">
        <f>VLOOKUP(A12,'Eenheid - Brandstoffen'!$A$3:$D$25,IF(G12="liter",2,IF(G12="kg",3,4)),FALSE)</f>
        <v>#N/A</v>
      </c>
      <c r="I12" s="88" t="e">
        <f t="shared" si="0"/>
        <v>#N/A</v>
      </c>
      <c r="J12" s="58"/>
      <c r="K12" s="88" t="e">
        <f t="shared" si="3"/>
        <v>#N/A</v>
      </c>
      <c r="L12" s="89" t="e">
        <f>IF(E12="Nee","Geen verplichting",IF(D12="Nee",VLOOKUP(A12,'Eenheid - Brandstoffen'!$A$3:$G$25,IF(G12="liter",5,IF(G12="kg",6,7)),FALSE),VLOOKUP(D12,'Eenheid - Brandstoffen'!$A$3:$G$25,IF(G12="liter",5,IF(G12="kg",6,7)),FALSE)))</f>
        <v>#N/A</v>
      </c>
      <c r="M12" s="88" t="e">
        <f t="shared" si="1"/>
        <v>#N/A</v>
      </c>
    </row>
    <row r="13" spans="1:13" x14ac:dyDescent="0.2">
      <c r="A13" s="58"/>
      <c r="B13" s="58"/>
      <c r="C13" s="58"/>
      <c r="E13" s="25" t="str">
        <f t="shared" si="2"/>
        <v>Ja</v>
      </c>
      <c r="F13" s="87"/>
      <c r="G13" s="58"/>
      <c r="H13" s="89" t="e">
        <f>VLOOKUP(A13,'Eenheid - Brandstoffen'!$A$3:$D$25,IF(G13="liter",2,IF(G13="kg",3,4)),FALSE)</f>
        <v>#N/A</v>
      </c>
      <c r="I13" s="88" t="e">
        <f t="shared" si="0"/>
        <v>#N/A</v>
      </c>
      <c r="J13" s="58"/>
      <c r="K13" s="88" t="e">
        <f t="shared" si="3"/>
        <v>#N/A</v>
      </c>
      <c r="L13" s="89" t="e">
        <f>IF(E13="Nee","Geen verplichting",IF(D13="Nee",VLOOKUP(A13,'Eenheid - Brandstoffen'!$A$3:$G$25,IF(G13="liter",5,IF(G13="kg",6,7)),FALSE),VLOOKUP(D13,'Eenheid - Brandstoffen'!$A$3:$G$25,IF(G13="liter",5,IF(G13="kg",6,7)),FALSE)))</f>
        <v>#N/A</v>
      </c>
      <c r="M13" s="88" t="e">
        <f t="shared" si="1"/>
        <v>#N/A</v>
      </c>
    </row>
    <row r="14" spans="1:13" x14ac:dyDescent="0.2">
      <c r="A14" s="58"/>
      <c r="B14" s="58"/>
      <c r="C14" s="58"/>
      <c r="E14" s="25" t="str">
        <f t="shared" si="2"/>
        <v>Ja</v>
      </c>
      <c r="F14" s="28"/>
      <c r="G14" s="58"/>
      <c r="H14" s="89" t="e">
        <f>VLOOKUP(A14,'Eenheid - Brandstoffen'!$A$3:$D$25,IF(G14="liter",2,IF(G14="kg",3,4)),FALSE)</f>
        <v>#N/A</v>
      </c>
      <c r="I14" s="88" t="e">
        <f t="shared" si="0"/>
        <v>#N/A</v>
      </c>
      <c r="J14" s="58"/>
      <c r="K14" s="88" t="e">
        <f t="shared" si="3"/>
        <v>#N/A</v>
      </c>
      <c r="L14" s="89" t="e">
        <f>IF(E14="Nee","Geen verplichting",IF(D14="Nee",VLOOKUP(A14,'Eenheid - Brandstoffen'!$A$3:$G$25,IF(G14="liter",5,IF(G14="kg",6,7)),FALSE),VLOOKUP(D14,'Eenheid - Brandstoffen'!$A$3:$G$25,IF(G14="liter",5,IF(G14="kg",6,7)),FALSE)))</f>
        <v>#N/A</v>
      </c>
      <c r="M14" s="88" t="e">
        <f t="shared" si="1"/>
        <v>#N/A</v>
      </c>
    </row>
    <row r="15" spans="1:13" x14ac:dyDescent="0.2">
      <c r="A15" s="58"/>
      <c r="B15" s="58"/>
      <c r="C15" s="58"/>
      <c r="E15" s="25" t="str">
        <f t="shared" si="2"/>
        <v>Ja</v>
      </c>
      <c r="F15" s="87"/>
      <c r="G15" s="58"/>
      <c r="H15" s="89" t="e">
        <f>VLOOKUP(A15,'Eenheid - Brandstoffen'!$A$3:$D$25,IF(G15="liter",2,IF(G15="kg",3,4)),FALSE)</f>
        <v>#N/A</v>
      </c>
      <c r="I15" s="88" t="e">
        <f t="shared" si="0"/>
        <v>#N/A</v>
      </c>
      <c r="J15" s="58"/>
      <c r="K15" s="88" t="e">
        <f t="shared" si="3"/>
        <v>#N/A</v>
      </c>
      <c r="L15" s="89" t="e">
        <f>IF(E15="Nee","Geen verplichting",IF(D15="Nee",VLOOKUP(A15,'Eenheid - Brandstoffen'!$A$3:$G$25,IF(G15="liter",5,IF(G15="kg",6,7)),FALSE),VLOOKUP(D15,'Eenheid - Brandstoffen'!$A$3:$G$25,IF(G15="liter",5,IF(G15="kg",6,7)),FALSE)))</f>
        <v>#N/A</v>
      </c>
      <c r="M15" s="88" t="e">
        <f t="shared" si="1"/>
        <v>#N/A</v>
      </c>
    </row>
    <row r="16" spans="1:13" x14ac:dyDescent="0.2">
      <c r="A16" s="58"/>
      <c r="B16" s="58"/>
      <c r="C16" s="58"/>
      <c r="E16" s="25" t="str">
        <f t="shared" si="2"/>
        <v>Ja</v>
      </c>
      <c r="F16" s="87"/>
      <c r="G16" s="58"/>
      <c r="H16" s="89" t="e">
        <f>VLOOKUP(A16,'Eenheid - Brandstoffen'!$A$3:$D$25,IF(G16="liter",2,IF(G16="kg",3,4)),FALSE)</f>
        <v>#N/A</v>
      </c>
      <c r="I16" s="88" t="e">
        <f t="shared" si="0"/>
        <v>#N/A</v>
      </c>
      <c r="J16" s="58"/>
      <c r="K16" s="88" t="e">
        <f t="shared" si="3"/>
        <v>#N/A</v>
      </c>
      <c r="L16" s="89" t="e">
        <f>IF(E16="Nee","Geen verplichting",IF(D16="Nee",VLOOKUP(A16,'Eenheid - Brandstoffen'!$A$3:$G$25,IF(G16="liter",5,IF(G16="kg",6,7)),FALSE),VLOOKUP(D16,'Eenheid - Brandstoffen'!$A$3:$G$25,IF(G16="liter",5,IF(G16="kg",6,7)),FALSE)))</f>
        <v>#N/A</v>
      </c>
      <c r="M16" s="88" t="e">
        <f t="shared" si="1"/>
        <v>#N/A</v>
      </c>
    </row>
    <row r="17" spans="1:13" x14ac:dyDescent="0.2">
      <c r="A17" s="58"/>
      <c r="B17" s="58"/>
      <c r="C17" s="58"/>
      <c r="E17" s="25" t="str">
        <f t="shared" si="2"/>
        <v>Ja</v>
      </c>
      <c r="F17" s="87"/>
      <c r="G17" s="58"/>
      <c r="H17" s="89" t="e">
        <f>VLOOKUP(A17,'Eenheid - Brandstoffen'!$A$3:$D$25,IF(G17="liter",2,IF(G17="kg",3,4)),FALSE)</f>
        <v>#N/A</v>
      </c>
      <c r="I17" s="88" t="e">
        <f t="shared" si="0"/>
        <v>#N/A</v>
      </c>
      <c r="J17" s="58"/>
      <c r="K17" s="88" t="e">
        <f t="shared" si="3"/>
        <v>#N/A</v>
      </c>
      <c r="L17" s="89" t="e">
        <f>IF(E17="Nee","Geen verplichting",IF(D17="Nee",VLOOKUP(A17,'Eenheid - Brandstoffen'!$A$3:$G$25,IF(G17="liter",5,IF(G17="kg",6,7)),FALSE),VLOOKUP(D17,'Eenheid - Brandstoffen'!$A$3:$G$25,IF(G17="liter",5,IF(G17="kg",6,7)),FALSE)))</f>
        <v>#N/A</v>
      </c>
      <c r="M17" s="88" t="e">
        <f t="shared" si="1"/>
        <v>#N/A</v>
      </c>
    </row>
    <row r="18" spans="1:13" x14ac:dyDescent="0.2">
      <c r="A18" s="58"/>
      <c r="B18" s="58"/>
      <c r="C18" s="58"/>
      <c r="E18" s="25" t="str">
        <f t="shared" si="2"/>
        <v>Ja</v>
      </c>
      <c r="F18" s="87"/>
      <c r="G18" s="58"/>
      <c r="H18" s="89" t="e">
        <f>VLOOKUP(A18,'Eenheid - Brandstoffen'!$A$3:$D$25,IF(G18="liter",2,IF(G18="kg",3,4)),FALSE)</f>
        <v>#N/A</v>
      </c>
      <c r="I18" s="88" t="e">
        <f t="shared" si="0"/>
        <v>#N/A</v>
      </c>
      <c r="J18" s="58"/>
      <c r="K18" s="88" t="e">
        <f t="shared" si="3"/>
        <v>#N/A</v>
      </c>
      <c r="L18" s="89" t="e">
        <f>IF(E18="Nee","Geen verplichting",IF(D18="Nee",VLOOKUP(A18,'Eenheid - Brandstoffen'!$A$3:$G$25,IF(G18="liter",5,IF(G18="kg",6,7)),FALSE),VLOOKUP(D18,'Eenheid - Brandstoffen'!$A$3:$G$25,IF(G18="liter",5,IF(G18="kg",6,7)),FALSE)))</f>
        <v>#N/A</v>
      </c>
      <c r="M18" s="88" t="e">
        <f t="shared" si="1"/>
        <v>#N/A</v>
      </c>
    </row>
    <row r="19" spans="1:13" x14ac:dyDescent="0.2">
      <c r="A19" s="58"/>
      <c r="B19" s="58"/>
      <c r="C19" s="58"/>
      <c r="E19" s="25" t="str">
        <f t="shared" si="2"/>
        <v>Ja</v>
      </c>
      <c r="F19" s="87"/>
      <c r="G19" s="58"/>
      <c r="H19" s="89" t="e">
        <f>VLOOKUP(A19,'Eenheid - Brandstoffen'!$A$3:$D$25,IF(G19="liter",2,IF(G19="kg",3,4)),FALSE)</f>
        <v>#N/A</v>
      </c>
      <c r="I19" s="88" t="e">
        <f t="shared" si="0"/>
        <v>#N/A</v>
      </c>
      <c r="J19" s="58"/>
      <c r="K19" s="88" t="e">
        <f t="shared" si="3"/>
        <v>#N/A</v>
      </c>
      <c r="L19" s="89" t="e">
        <f>IF(E19="Nee","Geen verplichting",IF(D19="Nee",VLOOKUP(A19,'Eenheid - Brandstoffen'!$A$3:$G$25,IF(G19="liter",5,IF(G19="kg",6,7)),FALSE),VLOOKUP(D19,'Eenheid - Brandstoffen'!$A$3:$G$25,IF(G19="liter",5,IF(G19="kg",6,7)),FALSE)))</f>
        <v>#N/A</v>
      </c>
      <c r="M19" s="88" t="e">
        <f t="shared" si="1"/>
        <v>#N/A</v>
      </c>
    </row>
    <row r="20" spans="1:13" x14ac:dyDescent="0.2">
      <c r="A20" s="58"/>
      <c r="B20" s="58"/>
      <c r="C20" s="58"/>
      <c r="E20" s="25" t="str">
        <f t="shared" si="2"/>
        <v>Ja</v>
      </c>
      <c r="F20" s="87"/>
      <c r="G20" s="58"/>
      <c r="H20" s="89" t="e">
        <f>VLOOKUP(A20,'Eenheid - Brandstoffen'!$A$3:$D$25,IF(G20="liter",2,IF(G20="kg",3,4)),FALSE)</f>
        <v>#N/A</v>
      </c>
      <c r="I20" s="88" t="e">
        <f t="shared" si="0"/>
        <v>#N/A</v>
      </c>
      <c r="J20" s="58"/>
      <c r="K20" s="88" t="e">
        <f t="shared" si="3"/>
        <v>#N/A</v>
      </c>
      <c r="L20" s="89" t="e">
        <f>IF(E20="Nee","Geen verplichting",IF(D20="Nee",VLOOKUP(A20,'Eenheid - Brandstoffen'!$A$3:$G$25,IF(G20="liter",5,IF(G20="kg",6,7)),FALSE),VLOOKUP(D20,'Eenheid - Brandstoffen'!$A$3:$G$25,IF(G20="liter",5,IF(G20="kg",6,7)),FALSE)))</f>
        <v>#N/A</v>
      </c>
      <c r="M20" s="88" t="e">
        <f t="shared" si="1"/>
        <v>#N/A</v>
      </c>
    </row>
    <row r="21" spans="1:13" x14ac:dyDescent="0.2">
      <c r="A21" s="58"/>
      <c r="B21" s="58"/>
      <c r="C21" s="58"/>
      <c r="E21" s="25" t="str">
        <f t="shared" si="2"/>
        <v>Ja</v>
      </c>
      <c r="F21" s="87"/>
      <c r="G21" s="58"/>
      <c r="H21" s="89" t="e">
        <f>VLOOKUP(A21,'Eenheid - Brandstoffen'!$A$3:$D$25,IF(G21="liter",2,IF(G21="kg",3,4)),FALSE)</f>
        <v>#N/A</v>
      </c>
      <c r="I21" s="88" t="e">
        <f t="shared" si="0"/>
        <v>#N/A</v>
      </c>
      <c r="J21" s="58"/>
      <c r="K21" s="88" t="e">
        <f t="shared" si="3"/>
        <v>#N/A</v>
      </c>
      <c r="L21" s="89" t="e">
        <f>IF(E21="Nee","Geen verplichting",IF(D21="Nee",VLOOKUP(A21,'Eenheid - Brandstoffen'!$A$3:$G$25,IF(G21="liter",5,IF(G21="kg",6,7)),FALSE),VLOOKUP(D21,'Eenheid - Brandstoffen'!$A$3:$G$25,IF(G21="liter",5,IF(G21="kg",6,7)),FALSE)))</f>
        <v>#N/A</v>
      </c>
      <c r="M21" s="88" t="e">
        <f t="shared" si="1"/>
        <v>#N/A</v>
      </c>
    </row>
    <row r="22" spans="1:13" x14ac:dyDescent="0.2">
      <c r="A22" s="58"/>
      <c r="B22" s="58"/>
      <c r="C22" s="58"/>
      <c r="E22" s="25" t="str">
        <f t="shared" si="2"/>
        <v>Ja</v>
      </c>
      <c r="F22" s="87"/>
      <c r="G22" s="58"/>
      <c r="H22" s="89" t="e">
        <f>VLOOKUP(A22,'Eenheid - Brandstoffen'!$A$3:$D$25,IF(G22="liter",2,IF(G22="kg",3,4)),FALSE)</f>
        <v>#N/A</v>
      </c>
      <c r="I22" s="88" t="e">
        <f t="shared" si="0"/>
        <v>#N/A</v>
      </c>
      <c r="J22" s="58"/>
      <c r="K22" s="88" t="e">
        <f t="shared" si="3"/>
        <v>#N/A</v>
      </c>
      <c r="L22" s="89" t="e">
        <f>IF(E22="Nee","Geen verplichting",IF(D22="Nee",VLOOKUP(A22,'Eenheid - Brandstoffen'!$A$3:$G$25,IF(G22="liter",5,IF(G22="kg",6,7)),FALSE),VLOOKUP(D22,'Eenheid - Brandstoffen'!$A$3:$G$25,IF(G22="liter",5,IF(G22="kg",6,7)),FALSE)))</f>
        <v>#N/A</v>
      </c>
      <c r="M22" s="88" t="e">
        <f t="shared" si="1"/>
        <v>#N/A</v>
      </c>
    </row>
    <row r="23" spans="1:13" x14ac:dyDescent="0.2">
      <c r="A23" s="58"/>
      <c r="B23" s="58"/>
      <c r="C23" s="58"/>
      <c r="E23" s="25" t="str">
        <f t="shared" si="2"/>
        <v>Ja</v>
      </c>
      <c r="F23" s="87"/>
      <c r="G23" s="58"/>
      <c r="H23" s="89" t="e">
        <f>VLOOKUP(A23,'Eenheid - Brandstoffen'!$A$3:$D$25,IF(G23="liter",2,IF(G23="kg",3,4)),FALSE)</f>
        <v>#N/A</v>
      </c>
      <c r="I23" s="88" t="e">
        <f t="shared" si="0"/>
        <v>#N/A</v>
      </c>
      <c r="J23" s="58"/>
      <c r="K23" s="88" t="e">
        <f t="shared" si="3"/>
        <v>#N/A</v>
      </c>
      <c r="L23" s="89" t="e">
        <f>IF(E23="Nee","Geen verplichting",IF(D23="Nee",VLOOKUP(A23,'Eenheid - Brandstoffen'!$A$3:$G$25,IF(G23="liter",5,IF(G23="kg",6,7)),FALSE),VLOOKUP(D23,'Eenheid - Brandstoffen'!$A$3:$G$25,IF(G23="liter",5,IF(G23="kg",6,7)),FALSE)))</f>
        <v>#N/A</v>
      </c>
      <c r="M23" s="88" t="e">
        <f t="shared" si="1"/>
        <v>#N/A</v>
      </c>
    </row>
    <row r="24" spans="1:13" x14ac:dyDescent="0.2">
      <c r="A24" s="58"/>
      <c r="B24" s="58"/>
      <c r="C24" s="58"/>
      <c r="E24" s="25" t="str">
        <f t="shared" si="2"/>
        <v>Ja</v>
      </c>
      <c r="F24" s="87"/>
      <c r="G24" s="58"/>
      <c r="H24" s="89" t="e">
        <f>VLOOKUP(A24,'Eenheid - Brandstoffen'!$A$3:$D$25,IF(G24="liter",2,IF(G24="kg",3,4)),FALSE)</f>
        <v>#N/A</v>
      </c>
      <c r="I24" s="88" t="e">
        <f t="shared" si="0"/>
        <v>#N/A</v>
      </c>
      <c r="J24" s="58"/>
      <c r="K24" s="88" t="e">
        <f t="shared" si="3"/>
        <v>#N/A</v>
      </c>
      <c r="L24" s="89" t="e">
        <f>IF(E24="Nee","Geen verplichting",IF(D24="Nee",VLOOKUP(A24,'Eenheid - Brandstoffen'!$A$3:$G$25,IF(G24="liter",5,IF(G24="kg",6,7)),FALSE),VLOOKUP(D24,'Eenheid - Brandstoffen'!$A$3:$G$25,IF(G24="liter",5,IF(G24="kg",6,7)),FALSE)))</f>
        <v>#N/A</v>
      </c>
      <c r="M24" s="88" t="e">
        <f t="shared" si="1"/>
        <v>#N/A</v>
      </c>
    </row>
    <row r="25" spans="1:13" x14ac:dyDescent="0.2">
      <c r="A25" s="58"/>
      <c r="B25" s="58"/>
      <c r="C25" s="58"/>
      <c r="E25" s="25" t="str">
        <f t="shared" si="2"/>
        <v>Ja</v>
      </c>
      <c r="F25" s="87"/>
      <c r="G25" s="58"/>
      <c r="H25" s="89" t="e">
        <f>VLOOKUP(A25,'Eenheid - Brandstoffen'!$A$3:$D$25,IF(G25="liter",2,IF(G25="kg",3,4)),FALSE)</f>
        <v>#N/A</v>
      </c>
      <c r="I25" s="88" t="e">
        <f t="shared" si="0"/>
        <v>#N/A</v>
      </c>
      <c r="J25" s="58"/>
      <c r="K25" s="88" t="e">
        <f t="shared" si="3"/>
        <v>#N/A</v>
      </c>
      <c r="L25" s="89" t="e">
        <f>IF(E25="Nee","Geen verplichting",IF(D25="Nee",VLOOKUP(A25,'Eenheid - Brandstoffen'!$A$3:$G$25,IF(G25="liter",5,IF(G25="kg",6,7)),FALSE),VLOOKUP(D25,'Eenheid - Brandstoffen'!$A$3:$G$25,IF(G25="liter",5,IF(G25="kg",6,7)),FALSE)))</f>
        <v>#N/A</v>
      </c>
      <c r="M25" s="88" t="e">
        <f t="shared" si="1"/>
        <v>#N/A</v>
      </c>
    </row>
    <row r="26" spans="1:13" x14ac:dyDescent="0.2">
      <c r="A26" s="58"/>
      <c r="B26" s="58"/>
      <c r="C26" s="58"/>
      <c r="E26" s="25" t="str">
        <f t="shared" si="2"/>
        <v>Ja</v>
      </c>
      <c r="F26" s="87"/>
      <c r="G26" s="58"/>
      <c r="H26" s="89" t="e">
        <f>VLOOKUP(A26,'Eenheid - Brandstoffen'!$A$3:$D$25,IF(G26="liter",2,IF(G26="kg",3,4)),FALSE)</f>
        <v>#N/A</v>
      </c>
      <c r="I26" s="88" t="e">
        <f t="shared" si="0"/>
        <v>#N/A</v>
      </c>
      <c r="J26" s="58"/>
      <c r="K26" s="88" t="e">
        <f t="shared" si="3"/>
        <v>#N/A</v>
      </c>
      <c r="L26" s="89" t="e">
        <f>IF(E26="Nee","Geen verplichting",IF(D26="Nee",VLOOKUP(A26,'Eenheid - Brandstoffen'!$A$3:$G$25,IF(G26="liter",5,IF(G26="kg",6,7)),FALSE),VLOOKUP(D26,'Eenheid - Brandstoffen'!$A$3:$G$25,IF(G26="liter",5,IF(G26="kg",6,7)),FALSE)))</f>
        <v>#N/A</v>
      </c>
      <c r="M26" s="88" t="e">
        <f t="shared" si="1"/>
        <v>#N/A</v>
      </c>
    </row>
    <row r="27" spans="1:13" x14ac:dyDescent="0.2">
      <c r="A27" s="58"/>
      <c r="B27" s="58"/>
      <c r="C27" s="58"/>
      <c r="E27" s="25" t="str">
        <f t="shared" si="2"/>
        <v>Ja</v>
      </c>
      <c r="F27" s="87"/>
      <c r="G27" s="58"/>
      <c r="H27" s="89" t="e">
        <f>VLOOKUP(A27,'Eenheid - Brandstoffen'!$A$3:$D$25,IF(G27="liter",2,IF(G27="kg",3,4)),FALSE)</f>
        <v>#N/A</v>
      </c>
      <c r="I27" s="88" t="e">
        <f t="shared" si="0"/>
        <v>#N/A</v>
      </c>
      <c r="J27" s="58"/>
      <c r="K27" s="88" t="e">
        <f t="shared" si="3"/>
        <v>#N/A</v>
      </c>
      <c r="L27" s="89" t="e">
        <f>IF(E27="Nee","Geen verplichting",IF(D27="Nee",VLOOKUP(A27,'Eenheid - Brandstoffen'!$A$3:$G$25,IF(G27="liter",5,IF(G27="kg",6,7)),FALSE),VLOOKUP(D27,'Eenheid - Brandstoffen'!$A$3:$G$25,IF(G27="liter",5,IF(G27="kg",6,7)),FALSE)))</f>
        <v>#N/A</v>
      </c>
      <c r="M27" s="88" t="e">
        <f t="shared" si="1"/>
        <v>#N/A</v>
      </c>
    </row>
    <row r="28" spans="1:13" x14ac:dyDescent="0.2">
      <c r="A28" s="58"/>
      <c r="B28" s="58"/>
      <c r="C28" s="58"/>
      <c r="E28" s="25" t="str">
        <f t="shared" si="2"/>
        <v>Ja</v>
      </c>
      <c r="F28" s="87"/>
      <c r="G28" s="58"/>
      <c r="H28" s="89" t="e">
        <f>VLOOKUP(A28,'Eenheid - Brandstoffen'!$A$3:$D$25,IF(G28="liter",2,IF(G28="kg",3,4)),FALSE)</f>
        <v>#N/A</v>
      </c>
      <c r="I28" s="88" t="e">
        <f t="shared" si="0"/>
        <v>#N/A</v>
      </c>
      <c r="J28" s="58"/>
      <c r="K28" s="88" t="e">
        <f t="shared" si="3"/>
        <v>#N/A</v>
      </c>
      <c r="L28" s="89" t="e">
        <f>IF(E28="Nee","Geen verplichting",IF(D28="Nee",VLOOKUP(A28,'Eenheid - Brandstoffen'!$A$3:$G$25,IF(G28="liter",5,IF(G28="kg",6,7)),FALSE),VLOOKUP(D28,'Eenheid - Brandstoffen'!$A$3:$G$25,IF(G28="liter",5,IF(G28="kg",6,7)),FALSE)))</f>
        <v>#N/A</v>
      </c>
      <c r="M28" s="88" t="e">
        <f t="shared" si="1"/>
        <v>#N/A</v>
      </c>
    </row>
    <row r="29" spans="1:13" x14ac:dyDescent="0.2">
      <c r="A29" s="58"/>
      <c r="B29" s="58"/>
      <c r="C29" s="58"/>
      <c r="E29" s="25" t="str">
        <f t="shared" si="2"/>
        <v>Ja</v>
      </c>
      <c r="F29" s="87"/>
      <c r="G29" s="58"/>
      <c r="H29" s="89" t="e">
        <f>VLOOKUP(A29,'Eenheid - Brandstoffen'!$A$3:$D$25,IF(G29="liter",2,IF(G29="kg",3,4)),FALSE)</f>
        <v>#N/A</v>
      </c>
      <c r="I29" s="88" t="e">
        <f t="shared" si="0"/>
        <v>#N/A</v>
      </c>
      <c r="J29" s="58"/>
      <c r="K29" s="88" t="e">
        <f t="shared" si="3"/>
        <v>#N/A</v>
      </c>
      <c r="L29" s="89" t="e">
        <f>IF(E29="Nee","Geen verplichting",IF(D29="Nee",VLOOKUP(A29,'Eenheid - Brandstoffen'!$A$3:$G$25,IF(G29="liter",5,IF(G29="kg",6,7)),FALSE),VLOOKUP(D29,'Eenheid - Brandstoffen'!$A$3:$G$25,IF(G29="liter",5,IF(G29="kg",6,7)),FALSE)))</f>
        <v>#N/A</v>
      </c>
      <c r="M29" s="88" t="e">
        <f t="shared" si="1"/>
        <v>#N/A</v>
      </c>
    </row>
    <row r="30" spans="1:13" x14ac:dyDescent="0.2">
      <c r="A30" s="58"/>
      <c r="B30" s="58"/>
      <c r="C30" s="58"/>
      <c r="E30" s="25" t="str">
        <f t="shared" si="2"/>
        <v>Ja</v>
      </c>
      <c r="F30" s="87"/>
      <c r="G30" s="58"/>
      <c r="H30" s="89" t="e">
        <f>VLOOKUP(A30,'Eenheid - Brandstoffen'!$A$3:$D$25,IF(G30="liter",2,IF(G30="kg",3,4)),FALSE)</f>
        <v>#N/A</v>
      </c>
      <c r="I30" s="88" t="e">
        <f t="shared" si="0"/>
        <v>#N/A</v>
      </c>
      <c r="J30" s="58"/>
      <c r="K30" s="88" t="e">
        <f t="shared" si="3"/>
        <v>#N/A</v>
      </c>
      <c r="L30" s="89" t="e">
        <f>IF(E30="Nee","Geen verplichting",IF(D30="Nee",VLOOKUP(A30,'Eenheid - Brandstoffen'!$A$3:$G$25,IF(G30="liter",5,IF(G30="kg",6,7)),FALSE),VLOOKUP(D30,'Eenheid - Brandstoffen'!$A$3:$G$25,IF(G30="liter",5,IF(G30="kg",6,7)),FALSE)))</f>
        <v>#N/A</v>
      </c>
      <c r="M30" s="88" t="e">
        <f t="shared" si="1"/>
        <v>#N/A</v>
      </c>
    </row>
    <row r="31" spans="1:13" x14ac:dyDescent="0.2">
      <c r="A31" s="58"/>
      <c r="B31" s="58"/>
      <c r="C31" s="58"/>
      <c r="E31" s="25" t="str">
        <f t="shared" si="2"/>
        <v>Ja</v>
      </c>
      <c r="F31" s="87"/>
      <c r="G31" s="58"/>
      <c r="H31" s="89" t="e">
        <f>VLOOKUP(A31,'Eenheid - Brandstoffen'!$A$3:$D$25,IF(G31="liter",2,IF(G31="kg",3,4)),FALSE)</f>
        <v>#N/A</v>
      </c>
      <c r="I31" s="88" t="e">
        <f t="shared" si="0"/>
        <v>#N/A</v>
      </c>
      <c r="J31" s="58"/>
      <c r="K31" s="88" t="e">
        <f t="shared" si="3"/>
        <v>#N/A</v>
      </c>
      <c r="L31" s="89" t="e">
        <f>IF(E31="Nee","Geen verplichting",IF(D31="Nee",VLOOKUP(A31,'Eenheid - Brandstoffen'!$A$3:$G$25,IF(G31="liter",5,IF(G31="kg",6,7)),FALSE),VLOOKUP(D31,'Eenheid - Brandstoffen'!$A$3:$G$25,IF(G31="liter",5,IF(G31="kg",6,7)),FALSE)))</f>
        <v>#N/A</v>
      </c>
      <c r="M31" s="88" t="e">
        <f t="shared" si="1"/>
        <v>#N/A</v>
      </c>
    </row>
    <row r="32" spans="1:13" x14ac:dyDescent="0.2">
      <c r="A32" s="58"/>
      <c r="B32" s="58"/>
      <c r="C32" s="58"/>
      <c r="E32" s="25" t="str">
        <f t="shared" si="2"/>
        <v>Ja</v>
      </c>
      <c r="F32" s="87"/>
      <c r="G32" s="58"/>
      <c r="H32" s="89" t="e">
        <f>VLOOKUP(A32,'Eenheid - Brandstoffen'!$A$3:$D$25,IF(G32="liter",2,IF(G32="kg",3,4)),FALSE)</f>
        <v>#N/A</v>
      </c>
      <c r="I32" s="88" t="e">
        <f t="shared" si="0"/>
        <v>#N/A</v>
      </c>
      <c r="J32" s="58"/>
      <c r="K32" s="88" t="e">
        <f t="shared" si="3"/>
        <v>#N/A</v>
      </c>
      <c r="L32" s="89" t="e">
        <f>IF(E32="Nee","Geen verplichting",IF(D32="Nee",VLOOKUP(A32,'Eenheid - Brandstoffen'!$A$3:$G$25,IF(G32="liter",5,IF(G32="kg",6,7)),FALSE),VLOOKUP(D32,'Eenheid - Brandstoffen'!$A$3:$G$25,IF(G32="liter",5,IF(G32="kg",6,7)),FALSE)))</f>
        <v>#N/A</v>
      </c>
      <c r="M32" s="88" t="e">
        <f t="shared" si="1"/>
        <v>#N/A</v>
      </c>
    </row>
    <row r="33" spans="1:13" x14ac:dyDescent="0.2">
      <c r="A33" s="58"/>
      <c r="B33" s="58"/>
      <c r="C33" s="58"/>
      <c r="E33" s="25" t="str">
        <f t="shared" si="2"/>
        <v>Ja</v>
      </c>
      <c r="F33" s="87"/>
      <c r="G33" s="58"/>
      <c r="H33" s="89" t="e">
        <f>VLOOKUP(A33,'Eenheid - Brandstoffen'!$A$3:$D$25,IF(G33="liter",2,IF(G33="kg",3,4)),FALSE)</f>
        <v>#N/A</v>
      </c>
      <c r="I33" s="88" t="e">
        <f t="shared" si="0"/>
        <v>#N/A</v>
      </c>
      <c r="J33" s="58"/>
      <c r="K33" s="88" t="e">
        <f t="shared" si="3"/>
        <v>#N/A</v>
      </c>
      <c r="L33" s="89" t="e">
        <f>IF(E33="Nee","Geen verplichting",IF(D33="Nee",VLOOKUP(A33,'Eenheid - Brandstoffen'!$A$3:$G$25,IF(G33="liter",5,IF(G33="kg",6,7)),FALSE),VLOOKUP(D33,'Eenheid - Brandstoffen'!$A$3:$G$25,IF(G33="liter",5,IF(G33="kg",6,7)),FALSE)))</f>
        <v>#N/A</v>
      </c>
      <c r="M33" s="88" t="e">
        <f t="shared" si="1"/>
        <v>#N/A</v>
      </c>
    </row>
    <row r="34" spans="1:13" x14ac:dyDescent="0.2">
      <c r="A34" s="58"/>
      <c r="B34" s="58"/>
      <c r="C34" s="58"/>
      <c r="E34" s="25" t="str">
        <f t="shared" si="2"/>
        <v>Ja</v>
      </c>
      <c r="F34" s="87"/>
      <c r="G34" s="58"/>
      <c r="H34" s="89" t="e">
        <f>VLOOKUP(A34,'Eenheid - Brandstoffen'!$A$3:$D$25,IF(G34="liter",2,IF(G34="kg",3,4)),FALSE)</f>
        <v>#N/A</v>
      </c>
      <c r="I34" s="88" t="e">
        <f t="shared" si="0"/>
        <v>#N/A</v>
      </c>
      <c r="J34" s="58"/>
      <c r="K34" s="88" t="e">
        <f t="shared" si="3"/>
        <v>#N/A</v>
      </c>
      <c r="L34" s="89" t="e">
        <f>IF(E34="Nee","Geen verplichting",IF(D34="Nee",VLOOKUP(A34,'Eenheid - Brandstoffen'!$A$3:$G$25,IF(G34="liter",5,IF(G34="kg",6,7)),FALSE),VLOOKUP(D34,'Eenheid - Brandstoffen'!$A$3:$G$25,IF(G34="liter",5,IF(G34="kg",6,7)),FALSE)))</f>
        <v>#N/A</v>
      </c>
      <c r="M34" s="88" t="e">
        <f t="shared" si="1"/>
        <v>#N/A</v>
      </c>
    </row>
  </sheetData>
  <sheetProtection algorithmName="SHA-512" hashValue="2ZyVa7SeJPzRsmDTRhxOQ+/VkHcvSZzikNyGC3MBpPeXo4epSUJzi52rsBhk3GlYNrVoiYtVSNKBmN5Kx1dc0A==" saltValue="HlDbzYEPmnv3FX47lqhW5w==" spinCount="100000" sheet="1" objects="1" scenarios="1"/>
  <dataValidations disablePrompts="1" count="6">
    <dataValidation type="list" allowBlank="1" showInputMessage="1" showErrorMessage="1" sqref="C3:C34" xr:uid="{1F7C2085-4439-48DC-A9E6-BE1078549779}">
      <formula1>"Land,Binnenvaart,Zeevaart"</formula1>
    </dataValidation>
    <dataValidation type="list" allowBlank="1" showInputMessage="1" showErrorMessage="1" sqref="G2:G34" xr:uid="{8F2E9022-5524-40EB-AE90-2281C6A906D8}">
      <formula1>"Liter,kg,MJ"</formula1>
    </dataValidation>
    <dataValidation type="list" allowBlank="1" showInputMessage="1" showErrorMessage="1" sqref="B2:B34" xr:uid="{13B94893-FE3E-4421-8160-07A0AE7710FF}">
      <formula1>"Fossiel,Geavanceerd,Bijlage IXb,RFNBO,Conventioneel,Overig,Elektriciteit"</formula1>
    </dataValidation>
    <dataValidation type="list" allowBlank="1" showInputMessage="1" showErrorMessage="1" sqref="C2" xr:uid="{1F045BAD-634F-4125-8507-E2C3D688A078}">
      <formula1>"Land,Binnenvaart,Zeevaart,Raffinage"</formula1>
    </dataValidation>
    <dataValidation type="list" allowBlank="1" showInputMessage="1" showErrorMessage="1" sqref="A2:A34" xr:uid="{0EE7E1FE-9C7C-4618-8520-E00ADC1F58B3}">
      <formula1>"Diesel,FAME,FAEE,HVO,Benzine,Ethanol,Nafta,ETBE,Geraffineerde bio olie,Stookolie,HFO,LFO,MDO,MGO,LNG,Waterstof,Methanol,MTBE,LPG,CNG,Biopropaan,Elektriciteit,Anders,"</formula1>
    </dataValidation>
    <dataValidation type="list" allowBlank="1" showInputMessage="1" showErrorMessage="1" sqref="D2:D1048576" xr:uid="{E40652D9-B340-4ED0-A023-EB1B68E18B7B}">
      <formula1>"Nee,Benzine,Diesel,Stookolie,HFO,LFO,MDO,MGO"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95B2-C6A3-4D08-8C69-699724D5C821}">
  <sheetPr>
    <tabColor theme="0"/>
  </sheetPr>
  <dimension ref="A1:AD95"/>
  <sheetViews>
    <sheetView zoomScale="85" zoomScaleNormal="85" workbookViewId="0">
      <selection activeCell="W12" sqref="W12"/>
    </sheetView>
  </sheetViews>
  <sheetFormatPr defaultColWidth="0" defaultRowHeight="15" zeroHeight="1" x14ac:dyDescent="0.25"/>
  <cols>
    <col min="1" max="1" width="27.28515625" style="27" customWidth="1"/>
    <col min="2" max="3" width="10.5703125" style="26" customWidth="1"/>
    <col min="4" max="5" width="9.140625" style="26" customWidth="1"/>
    <col min="6" max="6" width="10.140625" style="26" customWidth="1"/>
    <col min="7" max="7" width="9.140625" style="26" customWidth="1"/>
    <col min="8" max="8" width="26.7109375" style="26" customWidth="1"/>
    <col min="9" max="9" width="9.140625" style="26" customWidth="1"/>
    <col min="10" max="10" width="10.42578125" style="26" customWidth="1"/>
    <col min="11" max="12" width="9.140625" style="26" customWidth="1"/>
    <col min="13" max="13" width="9.85546875" style="26" customWidth="1"/>
    <col min="14" max="14" width="9.140625" style="26" customWidth="1"/>
    <col min="15" max="15" width="27.42578125" style="26" customWidth="1"/>
    <col min="16" max="16" width="10.5703125" style="26" bestFit="1" customWidth="1"/>
    <col min="17" max="20" width="9.140625" style="26" customWidth="1"/>
    <col min="21" max="21" width="9.140625" style="1" customWidth="1"/>
    <col min="22" max="22" width="27.42578125" style="26" customWidth="1"/>
    <col min="23" max="23" width="10.5703125" style="26" bestFit="1" customWidth="1"/>
    <col min="24" max="24" width="17" style="26" customWidth="1"/>
    <col min="25" max="25" width="9.140625" style="26" customWidth="1"/>
    <col min="26" max="26" width="4.7109375" style="26" customWidth="1"/>
    <col min="27" max="27" width="5" style="26" customWidth="1"/>
    <col min="28" max="28" width="3.28515625" style="26" customWidth="1"/>
    <col min="29" max="30" width="0" style="26" hidden="1" customWidth="1"/>
    <col min="31" max="16384" width="9.140625" style="26" hidden="1"/>
  </cols>
  <sheetData>
    <row r="1" spans="1:28" s="1" customFormat="1" ht="23.25" x14ac:dyDescent="0.35">
      <c r="A1" s="35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6"/>
    </row>
    <row r="2" spans="1:28" s="1" customFormat="1" x14ac:dyDescent="0.25">
      <c r="A2" s="36" t="s">
        <v>79</v>
      </c>
      <c r="B2" s="26"/>
      <c r="C2" s="26"/>
      <c r="D2" s="90">
        <v>2030</v>
      </c>
    </row>
    <row r="3" spans="1:28" s="1" customFormat="1" ht="15.75" thickBot="1" x14ac:dyDescent="0.3">
      <c r="A3" s="2"/>
    </row>
    <row r="4" spans="1:28" x14ac:dyDescent="0.25">
      <c r="A4" s="60" t="s">
        <v>49</v>
      </c>
      <c r="B4" s="61"/>
      <c r="C4" s="61"/>
      <c r="D4" s="61"/>
      <c r="E4" s="61"/>
      <c r="F4" s="62"/>
      <c r="H4" s="46" t="s">
        <v>38</v>
      </c>
      <c r="I4" s="73"/>
      <c r="J4" s="73"/>
      <c r="K4" s="73"/>
      <c r="L4" s="73"/>
      <c r="M4" s="74"/>
      <c r="O4" s="49" t="s">
        <v>39</v>
      </c>
      <c r="P4" s="83"/>
      <c r="Q4" s="83"/>
      <c r="R4" s="83"/>
      <c r="S4" s="83"/>
      <c r="T4" s="84"/>
      <c r="V4" s="104" t="s">
        <v>165</v>
      </c>
      <c r="W4" s="105"/>
      <c r="X4" s="105"/>
      <c r="Y4" s="105"/>
      <c r="Z4" s="105"/>
      <c r="AA4" s="106"/>
      <c r="AB4" s="1"/>
    </row>
    <row r="5" spans="1:28" x14ac:dyDescent="0.25">
      <c r="A5" s="36" t="s">
        <v>48</v>
      </c>
      <c r="C5" s="28">
        <f>(SUMIFS('Invultabel leveringen'!M:M,'Invultabel leveringen'!C:C,"Land",'Invultabel leveringen'!E:E,"Ja"))</f>
        <v>0</v>
      </c>
      <c r="D5" s="26" t="s">
        <v>44</v>
      </c>
      <c r="F5" s="40"/>
      <c r="H5" s="34" t="s">
        <v>48</v>
      </c>
      <c r="J5" s="28">
        <f>(SUMIFS('Invultabel leveringen'!M:M,'Invultabel leveringen'!C:C,"Binnenvaart",'Invultabel leveringen'!E:E,"Ja"))</f>
        <v>0</v>
      </c>
      <c r="K5" s="26" t="s">
        <v>44</v>
      </c>
      <c r="M5" s="40"/>
      <c r="O5" s="34" t="s">
        <v>48</v>
      </c>
      <c r="Q5" s="28">
        <f>(SUMIFS('Invultabel leveringen'!M:M,'Invultabel leveringen'!C:C,"Zeevaart",'Invultabel leveringen'!E:E,"Ja"))</f>
        <v>0</v>
      </c>
      <c r="R5" s="26" t="s">
        <v>44</v>
      </c>
      <c r="T5" s="40"/>
      <c r="V5" s="34" t="s">
        <v>166</v>
      </c>
      <c r="X5" s="28">
        <f>(SUMIFS('Invultabel leveringen'!I:I,'Invultabel leveringen'!C:C,"Raffinage"))</f>
        <v>0</v>
      </c>
      <c r="Y5" s="26" t="s">
        <v>44</v>
      </c>
      <c r="AA5" s="40"/>
    </row>
    <row r="6" spans="1:28" x14ac:dyDescent="0.25">
      <c r="A6" s="36"/>
      <c r="F6" s="40"/>
      <c r="H6" s="34"/>
      <c r="M6" s="40"/>
      <c r="O6" s="34"/>
      <c r="T6" s="40"/>
      <c r="V6" s="34"/>
      <c r="AA6" s="40"/>
    </row>
    <row r="7" spans="1:28" ht="46.5" customHeight="1" thickBot="1" x14ac:dyDescent="0.3">
      <c r="A7" s="139" t="s">
        <v>141</v>
      </c>
      <c r="B7" s="140"/>
      <c r="C7" s="140"/>
      <c r="D7" s="140"/>
      <c r="E7" s="140"/>
      <c r="F7" s="141"/>
      <c r="H7" s="124" t="s">
        <v>141</v>
      </c>
      <c r="I7" s="125"/>
      <c r="J7" s="125"/>
      <c r="K7" s="125"/>
      <c r="L7" s="125"/>
      <c r="M7" s="126"/>
      <c r="O7" s="124" t="s">
        <v>141</v>
      </c>
      <c r="P7" s="125"/>
      <c r="Q7" s="125"/>
      <c r="R7" s="125"/>
      <c r="S7" s="125"/>
      <c r="T7" s="126"/>
      <c r="V7" s="124" t="s">
        <v>191</v>
      </c>
      <c r="W7" s="125"/>
      <c r="X7" s="125"/>
      <c r="Y7" s="125"/>
      <c r="Z7" s="125"/>
      <c r="AA7" s="126"/>
    </row>
    <row r="8" spans="1:28" ht="15.75" thickBot="1" x14ac:dyDescent="0.3">
      <c r="A8" s="63" t="s">
        <v>19</v>
      </c>
      <c r="B8" s="29">
        <v>2026</v>
      </c>
      <c r="C8" s="29">
        <v>2027</v>
      </c>
      <c r="D8" s="29">
        <v>2028</v>
      </c>
      <c r="E8" s="29">
        <v>2029</v>
      </c>
      <c r="F8" s="64">
        <v>2030</v>
      </c>
      <c r="G8" s="30"/>
      <c r="H8" s="42" t="s">
        <v>5</v>
      </c>
      <c r="I8" s="29">
        <v>2026</v>
      </c>
      <c r="J8" s="29">
        <v>2027</v>
      </c>
      <c r="K8" s="29">
        <v>2028</v>
      </c>
      <c r="L8" s="29">
        <v>2029</v>
      </c>
      <c r="M8" s="64">
        <v>2030</v>
      </c>
      <c r="N8" s="30"/>
      <c r="O8" s="42" t="s">
        <v>6</v>
      </c>
      <c r="P8" s="29">
        <v>2026</v>
      </c>
      <c r="Q8" s="29">
        <v>2027</v>
      </c>
      <c r="R8" s="29">
        <v>2028</v>
      </c>
      <c r="S8" s="29">
        <v>2029</v>
      </c>
      <c r="T8" s="64">
        <v>2030</v>
      </c>
      <c r="V8" s="130" t="s">
        <v>167</v>
      </c>
      <c r="W8" s="131"/>
      <c r="X8" s="131"/>
      <c r="Y8" s="131"/>
      <c r="Z8" s="131"/>
      <c r="AA8" s="132"/>
    </row>
    <row r="9" spans="1:28" x14ac:dyDescent="0.25">
      <c r="A9" s="36" t="s">
        <v>31</v>
      </c>
      <c r="B9" s="31">
        <f>ROUNDUP($C$5*94/1000*'Hoogte BTV'!B2,0)</f>
        <v>0</v>
      </c>
      <c r="C9" s="31">
        <f>ROUNDUP($C$5*94/1000*'Hoogte BTV'!C2,0)</f>
        <v>0</v>
      </c>
      <c r="D9" s="31">
        <f>ROUNDUP($C$5*94/1000*'Hoogte BTV'!D2,0)</f>
        <v>0</v>
      </c>
      <c r="E9" s="31">
        <f>ROUNDUP($C$5*94/1000*'Hoogte BTV'!E2,0)</f>
        <v>0</v>
      </c>
      <c r="F9" s="65">
        <f>ROUNDUP($C$5*94/1000*'Hoogte BTV'!F2,0)</f>
        <v>0</v>
      </c>
      <c r="H9" s="34" t="s">
        <v>31</v>
      </c>
      <c r="I9" s="31">
        <f>ROUNDUP($J$5*94/1000*'Hoogte BTV'!B22,0)</f>
        <v>0</v>
      </c>
      <c r="J9" s="31">
        <f>ROUNDUP($J$5*94/1000*'Hoogte BTV'!C22,0)</f>
        <v>0</v>
      </c>
      <c r="K9" s="31">
        <f>ROUNDUP($J$5*94/1000*'Hoogte BTV'!D22,0)</f>
        <v>0</v>
      </c>
      <c r="L9" s="31">
        <f>ROUNDUP($J$5*94/1000*'Hoogte BTV'!E22,0)</f>
        <v>0</v>
      </c>
      <c r="M9" s="65">
        <f>ROUNDUP($J$5*94/1000*'Hoogte BTV'!F22,0)</f>
        <v>0</v>
      </c>
      <c r="O9" s="34" t="s">
        <v>31</v>
      </c>
      <c r="P9" s="31">
        <f>ROUNDUP($Q$5*94/1000*'Hoogte BTV'!B13,0)</f>
        <v>0</v>
      </c>
      <c r="Q9" s="31">
        <f>ROUNDUP($Q$5*94/1000*'Hoogte BTV'!C13,0)</f>
        <v>0</v>
      </c>
      <c r="R9" s="31">
        <f>ROUNDUP($Q$5*94/1000*'Hoogte BTV'!D13,0)</f>
        <v>0</v>
      </c>
      <c r="S9" s="31">
        <f>ROUNDUP($Q$5*94/1000*'Hoogte BTV'!E13,0)</f>
        <v>0</v>
      </c>
      <c r="T9" s="65">
        <f>ROUNDUP($Q$5*94/1000*'Hoogte BTV'!F13,0)</f>
        <v>0</v>
      </c>
      <c r="V9" s="34" t="s">
        <v>45</v>
      </c>
      <c r="W9" s="26">
        <f>ROUNDDOWN(SUMIFS('Invultabel leveringen'!$K:$K,'Invultabel leveringen'!$C:$C,"Raffinage",'Invultabel leveringen'!$B:$B,V9),0)</f>
        <v>0</v>
      </c>
      <c r="X9" s="26" t="s">
        <v>168</v>
      </c>
      <c r="AA9" s="40"/>
    </row>
    <row r="10" spans="1:28" x14ac:dyDescent="0.25">
      <c r="A10" s="36" t="s">
        <v>32</v>
      </c>
      <c r="B10" s="31">
        <f>ROUNDUP($C$5*94/1000*'Hoogte BTV'!B3,0)</f>
        <v>0</v>
      </c>
      <c r="C10" s="31">
        <f>ROUNDUP($C$5*94/1000*'Hoogte BTV'!C3,0)</f>
        <v>0</v>
      </c>
      <c r="D10" s="31">
        <f>ROUNDUP($C$5*94/1000*'Hoogte BTV'!D3,0)</f>
        <v>0</v>
      </c>
      <c r="E10" s="31">
        <f>ROUNDUP($C$5*94/1000*'Hoogte BTV'!E3,0)</f>
        <v>0</v>
      </c>
      <c r="F10" s="65">
        <f>ROUNDUP($C$5*94/1000*'Hoogte BTV'!F3,0)</f>
        <v>0</v>
      </c>
      <c r="H10" s="34" t="s">
        <v>32</v>
      </c>
      <c r="I10" s="31">
        <f>ROUNDUP($J$5*94/1000*'Hoogte BTV'!B23,0)</f>
        <v>0</v>
      </c>
      <c r="J10" s="31">
        <f>ROUNDUP($J$5*94/1000*'Hoogte BTV'!C23,0)</f>
        <v>0</v>
      </c>
      <c r="K10" s="31">
        <f>ROUNDUP($J$5*94/1000*'Hoogte BTV'!D23,0)</f>
        <v>0</v>
      </c>
      <c r="L10" s="31">
        <f>ROUNDUP($J$5*94/1000*'Hoogte BTV'!E23,0)</f>
        <v>0</v>
      </c>
      <c r="M10" s="65">
        <f>ROUNDUP($J$5*94/1000*'Hoogte BTV'!F23,0)</f>
        <v>0</v>
      </c>
      <c r="O10" s="34" t="s">
        <v>32</v>
      </c>
      <c r="P10" s="31">
        <f>ROUNDUP($Q$5*94/1000*'Hoogte BTV'!B14,0)</f>
        <v>0</v>
      </c>
      <c r="Q10" s="31">
        <f>ROUNDUP($Q$5*94/1000*'Hoogte BTV'!C14,0)</f>
        <v>0</v>
      </c>
      <c r="R10" s="31">
        <f>ROUNDUP($Q$5*94/1000*'Hoogte BTV'!D14,0)</f>
        <v>0</v>
      </c>
      <c r="S10" s="31">
        <f>ROUNDUP($Q$5*94/1000*'Hoogte BTV'!E14,0)</f>
        <v>0</v>
      </c>
      <c r="T10" s="65">
        <f>ROUNDUP($Q$5*94/1000*'Hoogte BTV'!F14,0)</f>
        <v>0</v>
      </c>
      <c r="V10" s="34"/>
      <c r="AA10" s="40"/>
    </row>
    <row r="11" spans="1:28" x14ac:dyDescent="0.25">
      <c r="A11" s="36" t="s">
        <v>33</v>
      </c>
      <c r="B11" s="31">
        <f>ROUNDUP($C$5*94/1000*'Hoogte BTV'!B4,0)</f>
        <v>0</v>
      </c>
      <c r="C11" s="31">
        <f>ROUNDUP($C$5*94/1000*'Hoogte BTV'!C4,0)</f>
        <v>0</v>
      </c>
      <c r="D11" s="31">
        <f>ROUNDUP($C$5*94/1000*'Hoogte BTV'!D4,0)</f>
        <v>0</v>
      </c>
      <c r="E11" s="31">
        <f>ROUNDUP($C$5*94/1000*'Hoogte BTV'!E4,0)</f>
        <v>0</v>
      </c>
      <c r="F11" s="65">
        <f>ROUNDUP($C$5*94/1000*'Hoogte BTV'!F4,0)</f>
        <v>0</v>
      </c>
      <c r="H11" s="34" t="s">
        <v>33</v>
      </c>
      <c r="I11" s="31">
        <f>ROUNDUP($J$5*94/1000*'Hoogte BTV'!B24,0)</f>
        <v>0</v>
      </c>
      <c r="J11" s="31">
        <f>ROUNDUP($J$5*94/1000*'Hoogte BTV'!C24,0)</f>
        <v>0</v>
      </c>
      <c r="K11" s="31">
        <f>ROUNDUP($J$5*94/1000*'Hoogte BTV'!D24,0)</f>
        <v>0</v>
      </c>
      <c r="L11" s="31">
        <f>ROUNDUP($J$5*94/1000*'Hoogte BTV'!E24,0)</f>
        <v>0</v>
      </c>
      <c r="M11" s="65">
        <f>ROUNDUP($J$5*94/1000*'Hoogte BTV'!F24,0)</f>
        <v>0</v>
      </c>
      <c r="O11" s="34" t="s">
        <v>33</v>
      </c>
      <c r="P11" s="31">
        <f>ROUNDUP($Q$5*94/1000*'Hoogte BTV'!B15,0)</f>
        <v>0</v>
      </c>
      <c r="Q11" s="31">
        <f>ROUNDUP($Q$5*94/1000*'Hoogte BTV'!C15,0)</f>
        <v>0</v>
      </c>
      <c r="R11" s="31">
        <f>ROUNDUP($Q$5*94/1000*'Hoogte BTV'!D15,0)</f>
        <v>0</v>
      </c>
      <c r="S11" s="31">
        <f>ROUNDUP($Q$5*94/1000*'Hoogte BTV'!E15,0)</f>
        <v>0</v>
      </c>
      <c r="T11" s="65">
        <f>ROUNDUP($Q$5*94/1000*'Hoogte BTV'!F15,0)</f>
        <v>0</v>
      </c>
      <c r="V11" s="34" t="s">
        <v>169</v>
      </c>
      <c r="AA11" s="40"/>
    </row>
    <row r="12" spans="1:28" x14ac:dyDescent="0.25">
      <c r="A12" s="36"/>
      <c r="B12" s="28"/>
      <c r="C12" s="28"/>
      <c r="D12" s="28"/>
      <c r="E12" s="28"/>
      <c r="F12" s="66"/>
      <c r="H12" s="34"/>
      <c r="I12" s="28"/>
      <c r="J12" s="28"/>
      <c r="K12" s="28"/>
      <c r="L12" s="28"/>
      <c r="M12" s="66"/>
      <c r="O12" s="34"/>
      <c r="P12" s="28"/>
      <c r="Q12" s="28"/>
      <c r="R12" s="28"/>
      <c r="S12" s="28"/>
      <c r="T12" s="66"/>
      <c r="V12" s="34" t="s">
        <v>19</v>
      </c>
      <c r="W12" s="120" t="s">
        <v>170</v>
      </c>
      <c r="AA12" s="40"/>
    </row>
    <row r="13" spans="1:28" x14ac:dyDescent="0.25">
      <c r="A13" s="36" t="s">
        <v>158</v>
      </c>
      <c r="B13" s="32">
        <f>ROUNDUP($C$5*94/1000*'Hoogte BTV'!B6,0)</f>
        <v>0</v>
      </c>
      <c r="C13" s="32">
        <f>ROUNDUP($C$5*94/1000*'Hoogte BTV'!C6,0)</f>
        <v>0</v>
      </c>
      <c r="D13" s="32">
        <f>ROUNDUP($C$5*94/1000*'Hoogte BTV'!D6,0)</f>
        <v>0</v>
      </c>
      <c r="E13" s="32">
        <f>ROUNDUP($C$5*94/1000*'Hoogte BTV'!E6,0)</f>
        <v>0</v>
      </c>
      <c r="F13" s="67">
        <f>ROUNDUP($C$5*94/1000*'Hoogte BTV'!F6,0)</f>
        <v>0</v>
      </c>
      <c r="H13" s="34" t="s">
        <v>158</v>
      </c>
      <c r="I13" s="32">
        <f>ROUNDUP($J$5*94/1000*0,0)</f>
        <v>0</v>
      </c>
      <c r="J13" s="32">
        <f t="shared" ref="J13:M13" si="0">ROUNDUP($J$5*94/1000*0,0)</f>
        <v>0</v>
      </c>
      <c r="K13" s="32">
        <f t="shared" si="0"/>
        <v>0</v>
      </c>
      <c r="L13" s="32">
        <f t="shared" si="0"/>
        <v>0</v>
      </c>
      <c r="M13" s="67">
        <f t="shared" si="0"/>
        <v>0</v>
      </c>
      <c r="O13" s="34" t="s">
        <v>158</v>
      </c>
      <c r="P13" s="32">
        <f>ROUNDUP($Q$5*94/1000*0,0)</f>
        <v>0</v>
      </c>
      <c r="Q13" s="32">
        <f t="shared" ref="Q13:T13" si="1">ROUNDUP($Q$5*94/1000*0,0)</f>
        <v>0</v>
      </c>
      <c r="R13" s="32">
        <f t="shared" si="1"/>
        <v>0</v>
      </c>
      <c r="S13" s="32">
        <f t="shared" si="1"/>
        <v>0</v>
      </c>
      <c r="T13" s="67">
        <f t="shared" si="1"/>
        <v>0</v>
      </c>
      <c r="V13" s="34" t="s">
        <v>5</v>
      </c>
      <c r="W13" s="120" t="s">
        <v>170</v>
      </c>
      <c r="AA13" s="40"/>
    </row>
    <row r="14" spans="1:28" x14ac:dyDescent="0.25">
      <c r="A14" s="36" t="s">
        <v>34</v>
      </c>
      <c r="B14" s="32">
        <f>ROUNDUP($C$5*94/1000*'Hoogte BTV'!B7,0)</f>
        <v>0</v>
      </c>
      <c r="C14" s="32">
        <f>ROUNDUP($C$5*94/1000*'Hoogte BTV'!C7,0)</f>
        <v>0</v>
      </c>
      <c r="D14" s="32">
        <f>ROUNDUP($C$5*94/1000*'Hoogte BTV'!D7,0)</f>
        <v>0</v>
      </c>
      <c r="E14" s="32">
        <f>ROUNDUP($C$5*94/1000*'Hoogte BTV'!E7,0)</f>
        <v>0</v>
      </c>
      <c r="F14" s="67">
        <f>ROUNDUP($C$5*94/1000*'Hoogte BTV'!F7,0)</f>
        <v>0</v>
      </c>
      <c r="H14" s="34" t="s">
        <v>34</v>
      </c>
      <c r="I14" s="32">
        <f>ROUNDUP($J$5*94/1000*'Hoogte BTV'!B26,0)</f>
        <v>0</v>
      </c>
      <c r="J14" s="32">
        <f>ROUNDUP($J$5*94/1000*'Hoogte BTV'!C26,0)</f>
        <v>0</v>
      </c>
      <c r="K14" s="32">
        <f>ROUNDUP($J$5*94/1000*'Hoogte BTV'!D26,0)</f>
        <v>0</v>
      </c>
      <c r="L14" s="32">
        <f>ROUNDUP($J$5*94/1000*'Hoogte BTV'!E26,0)</f>
        <v>0</v>
      </c>
      <c r="M14" s="67">
        <f>ROUNDUP($J$5*94/1000*'Hoogte BTV'!F26,0)</f>
        <v>0</v>
      </c>
      <c r="O14" s="34" t="s">
        <v>34</v>
      </c>
      <c r="P14" s="32">
        <f>ROUNDUP($Q$5*94/1000*'Hoogte BTV'!B17,0)</f>
        <v>0</v>
      </c>
      <c r="Q14" s="32">
        <f>ROUNDUP($Q$5*94/1000*'Hoogte BTV'!C17,0)</f>
        <v>0</v>
      </c>
      <c r="R14" s="32">
        <f>ROUNDUP($Q$5*94/1000*'Hoogte BTV'!D17,0)</f>
        <v>0</v>
      </c>
      <c r="S14" s="32">
        <f>ROUNDUP($Q$5*94/1000*'Hoogte BTV'!E17,0)</f>
        <v>0</v>
      </c>
      <c r="T14" s="67">
        <f>ROUNDUP($Q$5*94/1000*'Hoogte BTV'!F17,0)</f>
        <v>0</v>
      </c>
      <c r="V14" s="34" t="s">
        <v>6</v>
      </c>
      <c r="W14" s="120" t="s">
        <v>170</v>
      </c>
      <c r="AA14" s="40"/>
    </row>
    <row r="15" spans="1:28" ht="26.25" x14ac:dyDescent="0.25">
      <c r="A15" s="91" t="s">
        <v>196</v>
      </c>
      <c r="B15" s="32">
        <f>ROUNDUP($C$5*94/1000*'Hoogte BTV'!B8,0)</f>
        <v>0</v>
      </c>
      <c r="C15" s="32">
        <f>ROUNDUP($C$5*94/1000*'Hoogte BTV'!C8,0)</f>
        <v>0</v>
      </c>
      <c r="D15" s="32">
        <f>ROUNDUP($C$5*94/1000*'Hoogte BTV'!D8,0)</f>
        <v>0</v>
      </c>
      <c r="E15" s="32">
        <f>ROUNDUP($C$5*94/1000*'Hoogte BTV'!E8,0)</f>
        <v>0</v>
      </c>
      <c r="F15" s="67">
        <f>ROUNDUP($C$5*94/1000*'Hoogte BTV'!F8,0)</f>
        <v>0</v>
      </c>
      <c r="H15" s="92" t="s">
        <v>196</v>
      </c>
      <c r="I15" s="93" t="s">
        <v>73</v>
      </c>
      <c r="J15" s="93" t="s">
        <v>73</v>
      </c>
      <c r="K15" s="93" t="s">
        <v>73</v>
      </c>
      <c r="L15" s="93" t="s">
        <v>73</v>
      </c>
      <c r="M15" s="94" t="s">
        <v>73</v>
      </c>
      <c r="O15" s="92" t="s">
        <v>196</v>
      </c>
      <c r="P15" s="93" t="s">
        <v>73</v>
      </c>
      <c r="Q15" s="93" t="s">
        <v>73</v>
      </c>
      <c r="R15" s="93" t="s">
        <v>73</v>
      </c>
      <c r="S15" s="93" t="s">
        <v>73</v>
      </c>
      <c r="T15" s="94" t="s">
        <v>73</v>
      </c>
      <c r="V15" s="34"/>
      <c r="AA15" s="40"/>
    </row>
    <row r="16" spans="1:28" x14ac:dyDescent="0.25">
      <c r="A16" s="36" t="s">
        <v>35</v>
      </c>
      <c r="B16" s="32">
        <f>ROUNDDOWN($C$5*94/1000*'Hoogte BTV'!B9,0)</f>
        <v>0</v>
      </c>
      <c r="C16" s="32">
        <f>ROUNDDOWN($C$5*94/1000*'Hoogte BTV'!C9,0)</f>
        <v>0</v>
      </c>
      <c r="D16" s="32">
        <f>ROUNDDOWN($C$5*94/1000*'Hoogte BTV'!D9,0)</f>
        <v>0</v>
      </c>
      <c r="E16" s="32">
        <f>ROUNDDOWN($C$5*94/1000*'Hoogte BTV'!E9,0)</f>
        <v>0</v>
      </c>
      <c r="F16" s="67">
        <f>ROUNDDOWN($C$5*94/1000*'Hoogte BTV'!F9,0)</f>
        <v>0</v>
      </c>
      <c r="H16" s="34" t="s">
        <v>35</v>
      </c>
      <c r="I16" s="32">
        <f>ROUNDDOWN($J$5*94/1000*'Hoogte BTV'!B27,0)</f>
        <v>0</v>
      </c>
      <c r="J16" s="32">
        <f>ROUNDDOWN($J$5*94/1000*'Hoogte BTV'!C27,0)</f>
        <v>0</v>
      </c>
      <c r="K16" s="32">
        <f>ROUNDDOWN($J$5*94/1000*'Hoogte BTV'!D27,0)</f>
        <v>0</v>
      </c>
      <c r="L16" s="32">
        <f>ROUNDDOWN($J$5*94/1000*'Hoogte BTV'!E27,0)</f>
        <v>0</v>
      </c>
      <c r="M16" s="67">
        <f>ROUNDDOWN($J$5*94/1000*'Hoogte BTV'!F27,0)</f>
        <v>0</v>
      </c>
      <c r="O16" s="34" t="s">
        <v>35</v>
      </c>
      <c r="P16" s="32">
        <f>ROUNDDOWN($Q$5*94/1000*'Hoogte BTV'!B18,0)</f>
        <v>0</v>
      </c>
      <c r="Q16" s="32">
        <f>ROUNDDOWN($Q$5*94/1000*'Hoogte BTV'!C18,0)</f>
        <v>0</v>
      </c>
      <c r="R16" s="32">
        <f>ROUNDDOWN($Q$5*94/1000*'Hoogte BTV'!D18,0)</f>
        <v>0</v>
      </c>
      <c r="S16" s="32">
        <f>ROUNDDOWN($Q$5*94/1000*'Hoogte BTV'!E18,0)</f>
        <v>0</v>
      </c>
      <c r="T16" s="67">
        <f>ROUNDDOWN($Q$5*94/1000*'Hoogte BTV'!F18,0)</f>
        <v>0</v>
      </c>
      <c r="V16" s="133" t="s">
        <v>176</v>
      </c>
      <c r="W16" s="134"/>
      <c r="X16" s="134"/>
      <c r="Y16" s="134"/>
      <c r="Z16" s="134"/>
      <c r="AA16" s="135"/>
    </row>
    <row r="17" spans="1:27" x14ac:dyDescent="0.25">
      <c r="A17" s="36" t="s">
        <v>154</v>
      </c>
      <c r="B17" s="32">
        <f>ROUNDDOWN($C$5*94/1000*'Hoogte BTV'!B10,0)</f>
        <v>0</v>
      </c>
      <c r="C17" s="32">
        <f>ROUNDDOWN($C$5*94/1000*'Hoogte BTV'!C10,0)</f>
        <v>0</v>
      </c>
      <c r="D17" s="32">
        <f>ROUNDDOWN($C$5*94/1000*'Hoogte BTV'!D10,0)</f>
        <v>0</v>
      </c>
      <c r="E17" s="32">
        <f>ROUNDDOWN($C$5*94/1000*'Hoogte BTV'!E10,0)</f>
        <v>0</v>
      </c>
      <c r="F17" s="67">
        <f>ROUNDDOWN($C$5*94/1000*'Hoogte BTV'!F10,0)</f>
        <v>0</v>
      </c>
      <c r="H17" s="34" t="s">
        <v>154</v>
      </c>
      <c r="I17" s="32">
        <f>ROUNDDOWN($J$5*94/1000*'Hoogte BTV'!B28,0)</f>
        <v>0</v>
      </c>
      <c r="J17" s="32">
        <f>ROUNDDOWN($J$5*94/1000*'Hoogte BTV'!C28,0)</f>
        <v>0</v>
      </c>
      <c r="K17" s="32">
        <f>ROUNDDOWN($J$5*94/1000*'Hoogte BTV'!D28,0)</f>
        <v>0</v>
      </c>
      <c r="L17" s="32">
        <f>ROUNDDOWN($J$5*94/1000*'Hoogte BTV'!E28,0)</f>
        <v>0</v>
      </c>
      <c r="M17" s="67">
        <f>ROUNDDOWN($J$5*94/1000*'Hoogte BTV'!F28,0)</f>
        <v>0</v>
      </c>
      <c r="O17" s="34" t="s">
        <v>154</v>
      </c>
      <c r="P17" s="32">
        <f>ROUNDDOWN($Q$5*94/1000*'Hoogte BTV'!B19,0)</f>
        <v>0</v>
      </c>
      <c r="Q17" s="32">
        <f>ROUNDDOWN($Q$5*94/1000*'Hoogte BTV'!C19,0)</f>
        <v>0</v>
      </c>
      <c r="R17" s="32">
        <f>ROUNDDOWN($Q$5*94/1000*'Hoogte BTV'!D19,0)</f>
        <v>0</v>
      </c>
      <c r="S17" s="32">
        <f>ROUNDDOWN($Q$5*94/1000*'Hoogte BTV'!E19,0)</f>
        <v>0</v>
      </c>
      <c r="T17" s="67">
        <f>ROUNDDOWN($Q$5*94/1000*'Hoogte BTV'!F19,0)</f>
        <v>0</v>
      </c>
      <c r="V17" s="42" t="s">
        <v>2</v>
      </c>
      <c r="W17" s="30" t="s">
        <v>177</v>
      </c>
      <c r="X17" s="30" t="s">
        <v>178</v>
      </c>
      <c r="Y17" s="30"/>
      <c r="AA17" s="40"/>
    </row>
    <row r="18" spans="1:27" x14ac:dyDescent="0.25">
      <c r="A18" s="36"/>
      <c r="F18" s="40"/>
      <c r="H18" s="34"/>
      <c r="M18" s="40"/>
      <c r="O18" s="34"/>
      <c r="T18" s="40"/>
      <c r="V18" s="34" t="s">
        <v>19</v>
      </c>
      <c r="W18" s="28">
        <f>C49</f>
        <v>0</v>
      </c>
      <c r="X18" s="95">
        <f>W9-W18</f>
        <v>0</v>
      </c>
      <c r="Y18" s="26" t="s">
        <v>168</v>
      </c>
      <c r="AA18" s="40"/>
    </row>
    <row r="19" spans="1:27" x14ac:dyDescent="0.25">
      <c r="A19" s="133" t="s">
        <v>80</v>
      </c>
      <c r="B19" s="134"/>
      <c r="C19" s="134"/>
      <c r="D19" s="134"/>
      <c r="E19" s="134"/>
      <c r="F19" s="135"/>
      <c r="H19" s="133" t="s">
        <v>81</v>
      </c>
      <c r="I19" s="134"/>
      <c r="J19" s="134"/>
      <c r="K19" s="134"/>
      <c r="L19" s="134"/>
      <c r="M19" s="135"/>
      <c r="O19" s="133" t="s">
        <v>82</v>
      </c>
      <c r="P19" s="134"/>
      <c r="Q19" s="134"/>
      <c r="R19" s="134"/>
      <c r="S19" s="134"/>
      <c r="T19" s="135"/>
      <c r="V19" s="34" t="s">
        <v>5</v>
      </c>
      <c r="W19" s="28">
        <f>J49</f>
        <v>0</v>
      </c>
      <c r="X19" s="95">
        <f>X18-W19</f>
        <v>0</v>
      </c>
      <c r="Y19" s="26" t="s">
        <v>168</v>
      </c>
      <c r="AA19" s="40"/>
    </row>
    <row r="20" spans="1:27" x14ac:dyDescent="0.25">
      <c r="A20" s="36" t="s">
        <v>157</v>
      </c>
      <c r="B20" s="26">
        <f>ROUNDDOWN(SUMIFS('Invultabel leveringen'!$K:$K,'Invultabel leveringen'!$C:$C,A$8,'Invultabel leveringen'!$B:$B,A20),0)</f>
        <v>0</v>
      </c>
      <c r="C20" s="26" t="s">
        <v>85</v>
      </c>
      <c r="F20" s="40"/>
      <c r="H20" s="34" t="s">
        <v>157</v>
      </c>
      <c r="I20" s="26">
        <f>ROUNDDOWN(SUMIFS('Invultabel leveringen'!$K:$K,'Invultabel leveringen'!$C:$C,H$8,'Invultabel leveringen'!$B:$B,H20),0)</f>
        <v>0</v>
      </c>
      <c r="J20" s="26" t="s">
        <v>92</v>
      </c>
      <c r="M20" s="40"/>
      <c r="O20" s="34" t="s">
        <v>157</v>
      </c>
      <c r="P20" s="26">
        <f>ROUNDDOWN(SUMIFS('Invultabel leveringen'!$K:$K,'Invultabel leveringen'!$C:$C,O$8,'Invultabel leveringen'!$B:$B,O20),0)</f>
        <v>0</v>
      </c>
      <c r="Q20" s="26" t="s">
        <v>98</v>
      </c>
      <c r="T20" s="40"/>
      <c r="V20" s="34" t="s">
        <v>6</v>
      </c>
      <c r="W20" s="28">
        <f>Q49</f>
        <v>0</v>
      </c>
      <c r="X20" s="95">
        <f>X19-W20</f>
        <v>0</v>
      </c>
      <c r="Y20" s="26" t="s">
        <v>168</v>
      </c>
      <c r="AA20" s="40"/>
    </row>
    <row r="21" spans="1:27" x14ac:dyDescent="0.25">
      <c r="A21" s="36" t="s">
        <v>45</v>
      </c>
      <c r="B21" s="26">
        <f>ROUNDDOWN(SUMIFS('Invultabel leveringen'!$K:$K,'Invultabel leveringen'!$C:$C,A$8,'Invultabel leveringen'!$B:$B,A21),0)</f>
        <v>0</v>
      </c>
      <c r="C21" s="26" t="s">
        <v>87</v>
      </c>
      <c r="F21" s="40"/>
      <c r="H21" s="34" t="s">
        <v>45</v>
      </c>
      <c r="I21" s="26">
        <f>ROUNDDOWN(SUMIFS('Invultabel leveringen'!$K:$K,'Invultabel leveringen'!$C:$C,H$8,'Invultabel leveringen'!$B:$B,H21),0)</f>
        <v>0</v>
      </c>
      <c r="J21" s="26" t="s">
        <v>93</v>
      </c>
      <c r="M21" s="40"/>
      <c r="O21" s="34" t="s">
        <v>45</v>
      </c>
      <c r="P21" s="26">
        <f>ROUNDDOWN(SUMIFS('Invultabel leveringen'!$K:$K,'Invultabel leveringen'!$C:$C,O$8,'Invultabel leveringen'!$B:$B,O21),0)</f>
        <v>0</v>
      </c>
      <c r="Q21" s="26" t="s">
        <v>99</v>
      </c>
      <c r="T21" s="40"/>
      <c r="V21" s="34"/>
      <c r="AA21" s="40"/>
    </row>
    <row r="22" spans="1:27" x14ac:dyDescent="0.25">
      <c r="A22" s="36" t="s">
        <v>46</v>
      </c>
      <c r="B22" s="26">
        <f>ROUNDDOWN(SUMIFS('Invultabel leveringen'!$K:$K,'Invultabel leveringen'!$C:$C,A$8,'Invultabel leveringen'!$B:$B,A22),0)</f>
        <v>0</v>
      </c>
      <c r="C22" s="26" t="s">
        <v>88</v>
      </c>
      <c r="F22" s="40"/>
      <c r="H22" s="75" t="s">
        <v>46</v>
      </c>
      <c r="I22" s="76" t="s">
        <v>73</v>
      </c>
      <c r="J22" s="77"/>
      <c r="M22" s="40"/>
      <c r="O22" s="75" t="s">
        <v>46</v>
      </c>
      <c r="P22" s="76" t="s">
        <v>73</v>
      </c>
      <c r="Q22" s="77"/>
      <c r="T22" s="40"/>
      <c r="V22" s="75"/>
      <c r="W22" s="76"/>
      <c r="X22" s="77"/>
      <c r="AA22" s="40"/>
    </row>
    <row r="23" spans="1:27" x14ac:dyDescent="0.25">
      <c r="A23" s="36" t="s">
        <v>156</v>
      </c>
      <c r="B23" s="26">
        <f>ROUNDDOWN(SUMIFS('Invultabel leveringen'!$K:$K,'Invultabel leveringen'!$C:$C,A$8,'Invultabel leveringen'!$B:$B,A23),0)</f>
        <v>0</v>
      </c>
      <c r="C23" s="26" t="s">
        <v>89</v>
      </c>
      <c r="F23" s="40"/>
      <c r="H23" s="34" t="s">
        <v>156</v>
      </c>
      <c r="I23" s="26">
        <f>ROUNDDOWN(SUMIFS('Invultabel leveringen'!$K:$K,'Invultabel leveringen'!$C:$C,H$8,'Invultabel leveringen'!$B:$B,H23),0)</f>
        <v>0</v>
      </c>
      <c r="J23" s="26" t="s">
        <v>95</v>
      </c>
      <c r="M23" s="40"/>
      <c r="O23" s="75" t="s">
        <v>156</v>
      </c>
      <c r="P23" s="76" t="s">
        <v>73</v>
      </c>
      <c r="Q23" s="77"/>
      <c r="T23" s="40"/>
      <c r="V23" s="75"/>
      <c r="W23" s="76"/>
      <c r="X23" s="77"/>
      <c r="AA23" s="40"/>
    </row>
    <row r="24" spans="1:27" x14ac:dyDescent="0.25">
      <c r="A24" s="36" t="s">
        <v>47</v>
      </c>
      <c r="B24" s="26">
        <f>ROUNDDOWN(SUMIFS('Invultabel leveringen'!$K:$K,'Invultabel leveringen'!$C:$C,A$8,'Invultabel leveringen'!$B:$B,A24),0)</f>
        <v>0</v>
      </c>
      <c r="C24" s="26" t="s">
        <v>90</v>
      </c>
      <c r="F24" s="40"/>
      <c r="H24" s="34" t="s">
        <v>47</v>
      </c>
      <c r="I24" s="26">
        <f>ROUNDDOWN(SUMIFS('Invultabel leveringen'!$K:$K,'Invultabel leveringen'!$C:$C,H$8,'Invultabel leveringen'!$B:$B,H24),0)</f>
        <v>0</v>
      </c>
      <c r="J24" s="26" t="s">
        <v>96</v>
      </c>
      <c r="M24" s="40"/>
      <c r="O24" s="34" t="s">
        <v>47</v>
      </c>
      <c r="P24" s="26">
        <f>ROUNDDOWN(SUMIFS('Invultabel leveringen'!$K:$K,'Invultabel leveringen'!$C:$C,O$8,'Invultabel leveringen'!$B:$B,O24),0)</f>
        <v>0</v>
      </c>
      <c r="Q24" s="26" t="s">
        <v>100</v>
      </c>
      <c r="T24" s="40"/>
      <c r="V24" s="34"/>
      <c r="AA24" s="40"/>
    </row>
    <row r="25" spans="1:27" x14ac:dyDescent="0.25">
      <c r="A25" s="36" t="s">
        <v>71</v>
      </c>
      <c r="B25" s="26">
        <f>ROUNDDOWN(SUMIFS('Invultabel leveringen'!$K:$K,'Invultabel leveringen'!$C:$C,A$8,'Invultabel leveringen'!$B:$B,A25),0)</f>
        <v>0</v>
      </c>
      <c r="C25" s="26" t="s">
        <v>91</v>
      </c>
      <c r="F25" s="40"/>
      <c r="H25" s="34" t="s">
        <v>71</v>
      </c>
      <c r="I25" s="26">
        <f>ROUNDDOWN(SUMIFS('Invultabel leveringen'!$K:$K,'Invultabel leveringen'!$C:$C,H$8,'Invultabel leveringen'!$B:$B,H25),0)</f>
        <v>0</v>
      </c>
      <c r="J25" s="26" t="s">
        <v>97</v>
      </c>
      <c r="M25" s="40"/>
      <c r="O25" s="34" t="s">
        <v>71</v>
      </c>
      <c r="P25" s="26">
        <f>ROUNDDOWN(SUMIFS('Invultabel leveringen'!$K:$K,'Invultabel leveringen'!$C:$C,O$8,'Invultabel leveringen'!$B:$B,O25),0)</f>
        <v>0</v>
      </c>
      <c r="Q25" s="26" t="s">
        <v>101</v>
      </c>
      <c r="T25" s="40"/>
      <c r="V25" s="34"/>
      <c r="AA25" s="40"/>
    </row>
    <row r="26" spans="1:27" x14ac:dyDescent="0.25">
      <c r="A26" s="36"/>
      <c r="F26" s="40"/>
      <c r="H26" s="34"/>
      <c r="M26" s="40"/>
      <c r="O26" s="34"/>
      <c r="T26" s="40"/>
      <c r="V26" s="34"/>
      <c r="AA26" s="40"/>
    </row>
    <row r="27" spans="1:27" ht="30.75" customHeight="1" x14ac:dyDescent="0.25">
      <c r="A27" s="139" t="s">
        <v>134</v>
      </c>
      <c r="B27" s="140"/>
      <c r="C27" s="140"/>
      <c r="D27" s="140"/>
      <c r="E27" s="140"/>
      <c r="F27" s="141"/>
      <c r="H27" s="124" t="s">
        <v>134</v>
      </c>
      <c r="I27" s="125"/>
      <c r="J27" s="125"/>
      <c r="K27" s="125"/>
      <c r="L27" s="125"/>
      <c r="M27" s="126"/>
      <c r="O27" s="124" t="s">
        <v>134</v>
      </c>
      <c r="P27" s="125"/>
      <c r="Q27" s="125"/>
      <c r="R27" s="125"/>
      <c r="S27" s="125"/>
      <c r="T27" s="126"/>
      <c r="V27" s="96"/>
      <c r="W27" s="97"/>
      <c r="X27" s="97"/>
      <c r="Y27" s="97"/>
      <c r="Z27" s="97"/>
      <c r="AA27" s="98"/>
    </row>
    <row r="28" spans="1:27" ht="13.5" customHeight="1" x14ac:dyDescent="0.25">
      <c r="A28" s="36"/>
      <c r="F28" s="40"/>
      <c r="H28" s="34"/>
      <c r="M28" s="40"/>
      <c r="O28" s="34"/>
      <c r="T28" s="40"/>
      <c r="V28" s="34"/>
      <c r="AA28" s="40"/>
    </row>
    <row r="29" spans="1:27" x14ac:dyDescent="0.25">
      <c r="A29" s="63" t="s">
        <v>49</v>
      </c>
      <c r="B29" s="26" t="s">
        <v>72</v>
      </c>
      <c r="C29" s="26" t="s">
        <v>142</v>
      </c>
      <c r="F29" s="40"/>
      <c r="H29" s="42" t="s">
        <v>38</v>
      </c>
      <c r="I29" s="26" t="s">
        <v>72</v>
      </c>
      <c r="J29" s="26" t="s">
        <v>142</v>
      </c>
      <c r="M29" s="40"/>
      <c r="O29" s="42" t="s">
        <v>39</v>
      </c>
      <c r="P29" s="26" t="s">
        <v>72</v>
      </c>
      <c r="Q29" s="26" t="s">
        <v>142</v>
      </c>
      <c r="T29" s="40"/>
      <c r="V29" s="42"/>
      <c r="AA29" s="40"/>
    </row>
    <row r="30" spans="1:27" x14ac:dyDescent="0.25">
      <c r="A30" s="36" t="s">
        <v>31</v>
      </c>
      <c r="B30" s="28">
        <f>CHOOSE($D$2-2025,B9,C9,D9,E9,F9)</f>
        <v>0</v>
      </c>
      <c r="C30" s="68" t="s">
        <v>73</v>
      </c>
      <c r="D30" s="26" t="s">
        <v>83</v>
      </c>
      <c r="F30" s="40"/>
      <c r="H30" s="34" t="s">
        <v>31</v>
      </c>
      <c r="I30" s="28">
        <f>CHOOSE($D$2-2025,I9,J9,K9,L9,M9)</f>
        <v>0</v>
      </c>
      <c r="J30" s="68" t="s">
        <v>73</v>
      </c>
      <c r="K30" s="26" t="s">
        <v>102</v>
      </c>
      <c r="M30" s="40"/>
      <c r="O30" s="34" t="s">
        <v>31</v>
      </c>
      <c r="P30" s="28">
        <f>CHOOSE($D$2-2025,P9,Q9,R9,S9,T9)</f>
        <v>0</v>
      </c>
      <c r="Q30" s="68" t="s">
        <v>73</v>
      </c>
      <c r="R30" s="26" t="s">
        <v>84</v>
      </c>
      <c r="T30" s="40"/>
      <c r="V30" s="34"/>
      <c r="W30" s="28"/>
      <c r="X30" s="68"/>
      <c r="AA30" s="40"/>
    </row>
    <row r="31" spans="1:27" x14ac:dyDescent="0.25">
      <c r="A31" s="36" t="s">
        <v>32</v>
      </c>
      <c r="B31" s="28">
        <f>CHOOSE($D$2-2025,B10,C10,D10,E10,F10)</f>
        <v>0</v>
      </c>
      <c r="C31" s="68" t="s">
        <v>73</v>
      </c>
      <c r="D31" s="26" t="s">
        <v>74</v>
      </c>
      <c r="F31" s="40"/>
      <c r="H31" s="34" t="s">
        <v>32</v>
      </c>
      <c r="I31" s="28">
        <f>CHOOSE($D$2-2025,I10,J10,K10,L10,M10)</f>
        <v>0</v>
      </c>
      <c r="J31" s="68" t="s">
        <v>73</v>
      </c>
      <c r="K31" s="26" t="s">
        <v>74</v>
      </c>
      <c r="M31" s="40"/>
      <c r="O31" s="34" t="s">
        <v>32</v>
      </c>
      <c r="P31" s="28">
        <f>CHOOSE($D$2-2025,P10,Q10,R10,S10,T10)</f>
        <v>0</v>
      </c>
      <c r="Q31" s="68" t="s">
        <v>73</v>
      </c>
      <c r="R31" s="26" t="s">
        <v>74</v>
      </c>
      <c r="T31" s="40"/>
      <c r="V31" s="34"/>
      <c r="W31" s="28"/>
      <c r="X31" s="68"/>
      <c r="AA31" s="40"/>
    </row>
    <row r="32" spans="1:27" x14ac:dyDescent="0.25">
      <c r="A32" s="36" t="s">
        <v>33</v>
      </c>
      <c r="B32" s="28">
        <f>CHOOSE($D$2-2025,B11,C11,D11,E11,F11)</f>
        <v>0</v>
      </c>
      <c r="C32" s="68" t="s">
        <v>73</v>
      </c>
      <c r="D32" s="26" t="s">
        <v>83</v>
      </c>
      <c r="F32" s="40"/>
      <c r="H32" s="34" t="s">
        <v>33</v>
      </c>
      <c r="I32" s="28">
        <f>CHOOSE($D$2-2025,I11,J11,K11,L11,M11)</f>
        <v>0</v>
      </c>
      <c r="J32" s="68" t="s">
        <v>73</v>
      </c>
      <c r="K32" s="26" t="s">
        <v>103</v>
      </c>
      <c r="M32" s="40"/>
      <c r="O32" s="34" t="s">
        <v>33</v>
      </c>
      <c r="P32" s="28">
        <f>CHOOSE($D$2-2025,P11,Q11,R11,S11,T11)</f>
        <v>0</v>
      </c>
      <c r="Q32" s="68" t="s">
        <v>73</v>
      </c>
      <c r="R32" s="26" t="s">
        <v>104</v>
      </c>
      <c r="T32" s="40"/>
      <c r="V32" s="34"/>
      <c r="W32" s="28"/>
      <c r="X32" s="68"/>
      <c r="AA32" s="40"/>
    </row>
    <row r="33" spans="1:30" x14ac:dyDescent="0.25">
      <c r="A33" s="36"/>
      <c r="B33" s="28"/>
      <c r="F33" s="40"/>
      <c r="H33" s="34"/>
      <c r="I33" s="28"/>
      <c r="M33" s="40"/>
      <c r="O33" s="34"/>
      <c r="P33" s="28"/>
      <c r="T33" s="40"/>
      <c r="V33" s="34"/>
      <c r="W33" s="28"/>
      <c r="AA33" s="40"/>
    </row>
    <row r="34" spans="1:30" x14ac:dyDescent="0.25">
      <c r="A34" s="36" t="s">
        <v>158</v>
      </c>
      <c r="B34" s="28">
        <f>CHOOSE($D$2-2025,B13,C13,D13,E13,F13)</f>
        <v>0</v>
      </c>
      <c r="C34" s="26">
        <f>B20</f>
        <v>0</v>
      </c>
      <c r="D34" s="26" t="s">
        <v>85</v>
      </c>
      <c r="F34" s="40"/>
      <c r="H34" s="34" t="s">
        <v>158</v>
      </c>
      <c r="I34" s="28">
        <f>CHOOSE($D$2-2025,I13,J13,K13,L13,M13)</f>
        <v>0</v>
      </c>
      <c r="J34" s="26">
        <f>I20</f>
        <v>0</v>
      </c>
      <c r="K34" s="26" t="s">
        <v>92</v>
      </c>
      <c r="M34" s="40"/>
      <c r="O34" s="34" t="s">
        <v>158</v>
      </c>
      <c r="P34" s="28">
        <f>CHOOSE($D$2-2025,P13,Q13,R13,S13,T13)</f>
        <v>0</v>
      </c>
      <c r="Q34" s="26">
        <f>P20</f>
        <v>0</v>
      </c>
      <c r="R34" s="26" t="s">
        <v>98</v>
      </c>
      <c r="T34" s="40"/>
      <c r="V34" s="34"/>
      <c r="W34" s="28"/>
      <c r="AA34" s="40"/>
    </row>
    <row r="35" spans="1:30" x14ac:dyDescent="0.25">
      <c r="A35" s="36" t="s">
        <v>34</v>
      </c>
      <c r="B35" s="28">
        <f>CHOOSE($D$2-2025,B14,C14,D14,E14,F14)</f>
        <v>0</v>
      </c>
      <c r="C35" s="26">
        <f>B21+W9</f>
        <v>0</v>
      </c>
      <c r="D35" s="26" t="s">
        <v>179</v>
      </c>
      <c r="F35" s="40"/>
      <c r="H35" s="34" t="s">
        <v>34</v>
      </c>
      <c r="I35" s="28">
        <f>CHOOSE($D$2-2025,I14,J14,K14,L14,M14)</f>
        <v>0</v>
      </c>
      <c r="J35" s="26">
        <f>I21+W9</f>
        <v>0</v>
      </c>
      <c r="K35" s="26" t="s">
        <v>183</v>
      </c>
      <c r="M35" s="40"/>
      <c r="O35" s="34" t="s">
        <v>34</v>
      </c>
      <c r="P35" s="28">
        <f>CHOOSE($D$2-2025,P14,Q14,R14,S14,T14)</f>
        <v>0</v>
      </c>
      <c r="Q35" s="26">
        <f>P21+W9</f>
        <v>0</v>
      </c>
      <c r="R35" s="26" t="s">
        <v>184</v>
      </c>
      <c r="T35" s="40"/>
      <c r="V35" s="34"/>
      <c r="W35" s="28"/>
      <c r="AA35" s="40"/>
    </row>
    <row r="36" spans="1:30" ht="26.25" x14ac:dyDescent="0.25">
      <c r="A36" s="91" t="s">
        <v>196</v>
      </c>
      <c r="B36" s="28">
        <f>CHOOSE($D$2-2025,B15,C15,D15,E15,F15)</f>
        <v>0</v>
      </c>
      <c r="C36" s="26">
        <f>B21</f>
        <v>0</v>
      </c>
      <c r="D36" s="26" t="s">
        <v>87</v>
      </c>
      <c r="F36" s="40"/>
      <c r="H36" s="92" t="s">
        <v>196</v>
      </c>
      <c r="I36" s="95" t="str">
        <f>CHOOSE($D$2-2025,I15,J15,K15,L15,M15)</f>
        <v>-</v>
      </c>
      <c r="J36" s="26">
        <f>I21</f>
        <v>0</v>
      </c>
      <c r="K36" s="26" t="s">
        <v>93</v>
      </c>
      <c r="M36" s="40"/>
      <c r="O36" s="92" t="s">
        <v>196</v>
      </c>
      <c r="P36" s="95" t="str">
        <f>CHOOSE($D$2-2025,P15,Q15,R15,S15,T15)</f>
        <v>-</v>
      </c>
      <c r="Q36" s="26">
        <f>P21</f>
        <v>0</v>
      </c>
      <c r="R36" s="26" t="s">
        <v>99</v>
      </c>
      <c r="T36" s="40"/>
      <c r="V36" s="34"/>
      <c r="W36" s="28"/>
      <c r="AA36" s="40"/>
    </row>
    <row r="37" spans="1:30" x14ac:dyDescent="0.25">
      <c r="A37" s="36" t="s">
        <v>35</v>
      </c>
      <c r="B37" s="28">
        <f>CHOOSE($D$2-2025,B16,C16,D16,E16,F16)</f>
        <v>0</v>
      </c>
      <c r="C37" s="26">
        <f t="shared" ref="C37:C40" si="2">B22</f>
        <v>0</v>
      </c>
      <c r="D37" s="26" t="s">
        <v>22</v>
      </c>
      <c r="F37" s="40"/>
      <c r="H37" s="34" t="s">
        <v>35</v>
      </c>
      <c r="I37" s="28">
        <f>CHOOSE($D$2-2025,I16,J16,K16,L16,M16)</f>
        <v>0</v>
      </c>
      <c r="J37" s="68" t="str">
        <f>I22</f>
        <v>-</v>
      </c>
      <c r="K37" s="26" t="s">
        <v>22</v>
      </c>
      <c r="M37" s="40"/>
      <c r="O37" s="34" t="s">
        <v>35</v>
      </c>
      <c r="P37" s="28">
        <f>CHOOSE($D$2-2025,P16,Q16,R16,S16,T16)</f>
        <v>0</v>
      </c>
      <c r="Q37" s="68" t="str">
        <f>P22</f>
        <v>-</v>
      </c>
      <c r="R37" s="26" t="s">
        <v>22</v>
      </c>
      <c r="T37" s="40"/>
      <c r="V37" s="34"/>
      <c r="W37" s="28"/>
      <c r="AA37" s="40"/>
    </row>
    <row r="38" spans="1:30" x14ac:dyDescent="0.25">
      <c r="A38" s="36" t="s">
        <v>154</v>
      </c>
      <c r="B38" s="28">
        <f>CHOOSE($D$2-2025,B17,C17,D17,E17,F17)</f>
        <v>0</v>
      </c>
      <c r="C38" s="26">
        <f t="shared" si="2"/>
        <v>0</v>
      </c>
      <c r="D38" s="26" t="s">
        <v>23</v>
      </c>
      <c r="F38" s="40"/>
      <c r="H38" s="34" t="s">
        <v>154</v>
      </c>
      <c r="I38" s="28">
        <f>CHOOSE($D$2-2025,I17,J17,K17,L17,M17)</f>
        <v>0</v>
      </c>
      <c r="J38" s="26">
        <f>I23</f>
        <v>0</v>
      </c>
      <c r="K38" s="26" t="s">
        <v>23</v>
      </c>
      <c r="M38" s="40"/>
      <c r="O38" s="34" t="s">
        <v>154</v>
      </c>
      <c r="P38" s="28">
        <f>CHOOSE($D$2-2025,P17,Q17,R17,S17,T17)</f>
        <v>0</v>
      </c>
      <c r="Q38" s="68" t="str">
        <f>P23</f>
        <v>-</v>
      </c>
      <c r="R38" s="26" t="s">
        <v>23</v>
      </c>
      <c r="T38" s="40"/>
      <c r="V38" s="34"/>
      <c r="W38" s="28"/>
      <c r="AA38" s="40"/>
    </row>
    <row r="39" spans="1:30" x14ac:dyDescent="0.25">
      <c r="A39" s="36" t="s">
        <v>47</v>
      </c>
      <c r="B39" s="68" t="s">
        <v>73</v>
      </c>
      <c r="C39" s="26">
        <f t="shared" si="2"/>
        <v>0</v>
      </c>
      <c r="D39" s="26" t="s">
        <v>24</v>
      </c>
      <c r="F39" s="40"/>
      <c r="H39" s="34" t="s">
        <v>47</v>
      </c>
      <c r="I39" s="68" t="s">
        <v>73</v>
      </c>
      <c r="J39" s="26">
        <f>I24</f>
        <v>0</v>
      </c>
      <c r="K39" s="26" t="s">
        <v>24</v>
      </c>
      <c r="M39" s="40"/>
      <c r="O39" s="34" t="s">
        <v>47</v>
      </c>
      <c r="P39" s="68" t="s">
        <v>73</v>
      </c>
      <c r="Q39" s="26">
        <f>P24</f>
        <v>0</v>
      </c>
      <c r="R39" s="26" t="s">
        <v>24</v>
      </c>
      <c r="T39" s="40"/>
      <c r="V39" s="34"/>
      <c r="AA39" s="40"/>
    </row>
    <row r="40" spans="1:30" x14ac:dyDescent="0.25">
      <c r="A40" s="36" t="s">
        <v>71</v>
      </c>
      <c r="B40" s="68" t="s">
        <v>73</v>
      </c>
      <c r="C40" s="26">
        <f t="shared" si="2"/>
        <v>0</v>
      </c>
      <c r="D40" s="26" t="s">
        <v>91</v>
      </c>
      <c r="F40" s="40"/>
      <c r="H40" s="34" t="s">
        <v>71</v>
      </c>
      <c r="I40" s="68" t="s">
        <v>73</v>
      </c>
      <c r="J40" s="26">
        <f>I25</f>
        <v>0</v>
      </c>
      <c r="K40" s="26" t="s">
        <v>97</v>
      </c>
      <c r="M40" s="40"/>
      <c r="O40" s="34" t="s">
        <v>71</v>
      </c>
      <c r="P40" s="68" t="s">
        <v>73</v>
      </c>
      <c r="Q40" s="26">
        <f>P25</f>
        <v>0</v>
      </c>
      <c r="R40" s="26" t="s">
        <v>101</v>
      </c>
      <c r="T40" s="40"/>
      <c r="V40" s="34"/>
      <c r="AA40" s="40"/>
    </row>
    <row r="41" spans="1:30" x14ac:dyDescent="0.25">
      <c r="A41" s="36"/>
      <c r="F41" s="40"/>
      <c r="H41" s="34"/>
      <c r="M41" s="40"/>
      <c r="O41" s="34"/>
      <c r="T41" s="40"/>
      <c r="V41" s="34"/>
      <c r="AA41" s="40"/>
    </row>
    <row r="42" spans="1:30" x14ac:dyDescent="0.25">
      <c r="A42" s="142" t="s">
        <v>51</v>
      </c>
      <c r="B42" s="143"/>
      <c r="C42" s="143"/>
      <c r="D42" s="143"/>
      <c r="E42" s="143"/>
      <c r="F42" s="144"/>
      <c r="H42" s="127" t="s">
        <v>51</v>
      </c>
      <c r="I42" s="128"/>
      <c r="J42" s="128"/>
      <c r="K42" s="128"/>
      <c r="L42" s="128"/>
      <c r="M42" s="129"/>
      <c r="O42" s="127" t="s">
        <v>51</v>
      </c>
      <c r="P42" s="128"/>
      <c r="Q42" s="128"/>
      <c r="R42" s="128"/>
      <c r="S42" s="128"/>
      <c r="T42" s="129"/>
      <c r="V42" s="127"/>
      <c r="W42" s="128"/>
      <c r="X42" s="128"/>
      <c r="Y42" s="128"/>
      <c r="Z42" s="128"/>
      <c r="AA42" s="129"/>
    </row>
    <row r="43" spans="1:30" ht="21" customHeight="1" x14ac:dyDescent="0.25">
      <c r="A43" s="63" t="s">
        <v>52</v>
      </c>
      <c r="B43" s="27"/>
      <c r="C43" s="27"/>
      <c r="D43" s="27"/>
      <c r="E43" s="27"/>
      <c r="F43" s="69"/>
      <c r="H43" s="78" t="s">
        <v>52</v>
      </c>
      <c r="I43" s="79"/>
      <c r="J43" s="79"/>
      <c r="K43" s="79"/>
      <c r="L43" s="79"/>
      <c r="M43" s="80"/>
      <c r="O43" s="78" t="s">
        <v>52</v>
      </c>
      <c r="P43" s="79"/>
      <c r="Q43" s="79"/>
      <c r="R43" s="79"/>
      <c r="S43" s="79"/>
      <c r="T43" s="80"/>
      <c r="V43" s="78"/>
      <c r="W43" s="79"/>
      <c r="X43" s="79"/>
      <c r="Y43" s="79"/>
      <c r="Z43" s="79"/>
      <c r="AA43" s="80"/>
      <c r="AD43" s="30"/>
    </row>
    <row r="44" spans="1:30" x14ac:dyDescent="0.25">
      <c r="A44" s="36" t="s">
        <v>53</v>
      </c>
      <c r="C44" s="32">
        <f>B34</f>
        <v>0</v>
      </c>
      <c r="D44" s="26" t="s">
        <v>85</v>
      </c>
      <c r="F44" s="40"/>
      <c r="H44" s="34" t="s">
        <v>53</v>
      </c>
      <c r="J44" s="32">
        <f>I34</f>
        <v>0</v>
      </c>
      <c r="K44" s="26" t="s">
        <v>92</v>
      </c>
      <c r="M44" s="40"/>
      <c r="O44" s="34" t="s">
        <v>53</v>
      </c>
      <c r="Q44" s="32">
        <f>P34</f>
        <v>0</v>
      </c>
      <c r="R44" s="26" t="s">
        <v>98</v>
      </c>
      <c r="T44" s="40"/>
      <c r="V44" s="34"/>
      <c r="X44" s="28"/>
      <c r="AA44" s="40"/>
    </row>
    <row r="45" spans="1:30" x14ac:dyDescent="0.25">
      <c r="A45" s="36" t="s">
        <v>54</v>
      </c>
      <c r="C45" s="32">
        <f>B35</f>
        <v>0</v>
      </c>
      <c r="D45" s="26" t="s">
        <v>86</v>
      </c>
      <c r="F45" s="40"/>
      <c r="H45" s="34" t="s">
        <v>54</v>
      </c>
      <c r="J45" s="32">
        <f>I35</f>
        <v>0</v>
      </c>
      <c r="K45" s="26" t="s">
        <v>105</v>
      </c>
      <c r="M45" s="40"/>
      <c r="O45" s="34" t="s">
        <v>54</v>
      </c>
      <c r="Q45" s="32">
        <f>P35</f>
        <v>0</v>
      </c>
      <c r="R45" s="26" t="s">
        <v>106</v>
      </c>
      <c r="T45" s="40"/>
      <c r="V45" s="34"/>
      <c r="X45" s="28"/>
      <c r="AA45" s="40"/>
    </row>
    <row r="46" spans="1:30" ht="26.25" x14ac:dyDescent="0.25">
      <c r="A46" s="91" t="s">
        <v>195</v>
      </c>
      <c r="C46" s="32">
        <f>B36</f>
        <v>0</v>
      </c>
      <c r="D46" s="26" t="s">
        <v>87</v>
      </c>
      <c r="F46" s="40"/>
      <c r="H46" s="92" t="s">
        <v>195</v>
      </c>
      <c r="J46" s="93" t="str">
        <f>I36</f>
        <v>-</v>
      </c>
      <c r="K46" s="26" t="s">
        <v>87</v>
      </c>
      <c r="M46" s="40"/>
      <c r="O46" s="92" t="s">
        <v>195</v>
      </c>
      <c r="Q46" s="93" t="str">
        <f>P36</f>
        <v>-</v>
      </c>
      <c r="R46" s="26" t="s">
        <v>87</v>
      </c>
      <c r="T46" s="40"/>
      <c r="V46" s="34"/>
      <c r="X46" s="28"/>
      <c r="AA46" s="40"/>
    </row>
    <row r="47" spans="1:30" x14ac:dyDescent="0.25">
      <c r="A47" s="36"/>
      <c r="F47" s="40"/>
      <c r="H47" s="34"/>
      <c r="M47" s="40"/>
      <c r="O47" s="34"/>
      <c r="T47" s="40"/>
      <c r="V47" s="34"/>
      <c r="AA47" s="40"/>
    </row>
    <row r="48" spans="1:30" x14ac:dyDescent="0.25">
      <c r="A48" s="36" t="s">
        <v>180</v>
      </c>
      <c r="C48" s="32">
        <f>MIN(C44,C34)</f>
        <v>0</v>
      </c>
      <c r="D48" s="26" t="s">
        <v>85</v>
      </c>
      <c r="F48" s="40"/>
      <c r="H48" s="34" t="s">
        <v>180</v>
      </c>
      <c r="J48" s="32">
        <f>MIN(J44,J34)</f>
        <v>0</v>
      </c>
      <c r="K48" s="26" t="s">
        <v>92</v>
      </c>
      <c r="M48" s="40"/>
      <c r="O48" s="34" t="s">
        <v>180</v>
      </c>
      <c r="Q48" s="32">
        <f>MIN(Q44,Q34)</f>
        <v>0</v>
      </c>
      <c r="R48" s="26" t="s">
        <v>98</v>
      </c>
      <c r="T48" s="40"/>
      <c r="V48" s="34"/>
      <c r="AA48" s="40"/>
    </row>
    <row r="49" spans="1:27" x14ac:dyDescent="0.25">
      <c r="A49" s="36" t="s">
        <v>172</v>
      </c>
      <c r="C49" s="32">
        <f>MIN(C45,IF(W12="Ja",W9,0))</f>
        <v>0</v>
      </c>
      <c r="D49" s="26" t="s">
        <v>168</v>
      </c>
      <c r="F49" s="40"/>
      <c r="H49" s="34" t="s">
        <v>172</v>
      </c>
      <c r="J49" s="32">
        <f>MIN(J45,IF(W13="Ja",X18,0))</f>
        <v>0</v>
      </c>
      <c r="K49" s="26" t="s">
        <v>168</v>
      </c>
      <c r="M49" s="40"/>
      <c r="O49" s="34" t="s">
        <v>172</v>
      </c>
      <c r="Q49" s="32">
        <f>MIN(Q45,IF(W14="Ja",X19,0))</f>
        <v>0</v>
      </c>
      <c r="R49" s="26" t="s">
        <v>168</v>
      </c>
      <c r="T49" s="40"/>
      <c r="V49" s="34"/>
      <c r="AA49" s="40"/>
    </row>
    <row r="50" spans="1:27" x14ac:dyDescent="0.25">
      <c r="A50" s="36" t="s">
        <v>173</v>
      </c>
      <c r="C50" s="32">
        <f>MIN(C45-C49,C36)</f>
        <v>0</v>
      </c>
      <c r="D50" s="26" t="s">
        <v>87</v>
      </c>
      <c r="F50" s="40"/>
      <c r="H50" s="34" t="s">
        <v>174</v>
      </c>
      <c r="J50" s="32">
        <f>MIN(J45-J49,J36)</f>
        <v>0</v>
      </c>
      <c r="K50" s="26" t="s">
        <v>93</v>
      </c>
      <c r="M50" s="40"/>
      <c r="O50" s="34" t="s">
        <v>175</v>
      </c>
      <c r="Q50" s="32">
        <f>MIN(Q45-Q49,Q36)</f>
        <v>0</v>
      </c>
      <c r="R50" s="26" t="s">
        <v>99</v>
      </c>
      <c r="T50" s="40"/>
      <c r="V50" s="34"/>
      <c r="AA50" s="40"/>
    </row>
    <row r="51" spans="1:27" ht="26.25" x14ac:dyDescent="0.25">
      <c r="A51" s="91" t="s">
        <v>192</v>
      </c>
      <c r="C51" s="32">
        <f>MIN(C46,C36-C50)</f>
        <v>0</v>
      </c>
      <c r="D51" s="26" t="s">
        <v>87</v>
      </c>
      <c r="F51" s="40"/>
      <c r="H51" s="92" t="s">
        <v>193</v>
      </c>
      <c r="J51" s="93" t="str">
        <f>I40</f>
        <v>-</v>
      </c>
      <c r="K51" s="26" t="s">
        <v>93</v>
      </c>
      <c r="M51" s="40"/>
      <c r="O51" s="92" t="s">
        <v>194</v>
      </c>
      <c r="Q51" s="93" t="str">
        <f>P40</f>
        <v>-</v>
      </c>
      <c r="R51" s="26" t="s">
        <v>99</v>
      </c>
      <c r="T51" s="40"/>
      <c r="V51" s="34"/>
      <c r="AA51" s="40"/>
    </row>
    <row r="52" spans="1:27" x14ac:dyDescent="0.25">
      <c r="A52" s="36"/>
      <c r="F52" s="40"/>
      <c r="H52" s="34"/>
      <c r="M52" s="40"/>
      <c r="O52" s="34"/>
      <c r="T52" s="40"/>
      <c r="V52" s="34"/>
      <c r="AA52" s="40"/>
    </row>
    <row r="53" spans="1:27" x14ac:dyDescent="0.25">
      <c r="A53" s="36" t="s">
        <v>181</v>
      </c>
      <c r="C53" s="32">
        <f>MAX(0,C34-C44)</f>
        <v>0</v>
      </c>
      <c r="D53" s="26" t="s">
        <v>85</v>
      </c>
      <c r="F53" s="40"/>
      <c r="H53" s="34" t="s">
        <v>181</v>
      </c>
      <c r="J53" s="32">
        <f>MAX(0,J34-J44)</f>
        <v>0</v>
      </c>
      <c r="K53" s="26" t="s">
        <v>92</v>
      </c>
      <c r="M53" s="40"/>
      <c r="O53" s="34" t="s">
        <v>181</v>
      </c>
      <c r="Q53" s="32">
        <f>MAX(0,P20-Q44)</f>
        <v>0</v>
      </c>
      <c r="R53" s="26" t="s">
        <v>98</v>
      </c>
      <c r="T53" s="40"/>
      <c r="V53" s="34"/>
      <c r="X53" s="28"/>
      <c r="AA53" s="40"/>
    </row>
    <row r="54" spans="1:27" x14ac:dyDescent="0.25">
      <c r="A54" s="36" t="s">
        <v>182</v>
      </c>
      <c r="C54" s="32">
        <f>MAX(0,C35-C45)</f>
        <v>0</v>
      </c>
      <c r="D54" s="26" t="s">
        <v>87</v>
      </c>
      <c r="F54" s="40"/>
      <c r="H54" s="34" t="s">
        <v>182</v>
      </c>
      <c r="J54" s="32">
        <f>MAX(0,J35-J45)</f>
        <v>0</v>
      </c>
      <c r="K54" s="26" t="s">
        <v>93</v>
      </c>
      <c r="M54" s="40"/>
      <c r="O54" s="34" t="s">
        <v>182</v>
      </c>
      <c r="Q54" s="32">
        <f>MAX(0,P21-Q45)</f>
        <v>0</v>
      </c>
      <c r="R54" s="26" t="s">
        <v>99</v>
      </c>
      <c r="T54" s="40"/>
      <c r="V54" s="34"/>
      <c r="X54" s="28"/>
      <c r="AA54" s="40"/>
    </row>
    <row r="55" spans="1:27" x14ac:dyDescent="0.25">
      <c r="A55" s="36" t="s">
        <v>55</v>
      </c>
      <c r="C55" s="32">
        <f>C44-C48</f>
        <v>0</v>
      </c>
      <c r="D55" s="26" t="s">
        <v>85</v>
      </c>
      <c r="F55" s="40"/>
      <c r="H55" s="34" t="s">
        <v>55</v>
      </c>
      <c r="J55" s="32">
        <f>J44-J48</f>
        <v>0</v>
      </c>
      <c r="K55" s="26" t="s">
        <v>92</v>
      </c>
      <c r="M55" s="40"/>
      <c r="O55" s="34" t="s">
        <v>55</v>
      </c>
      <c r="Q55" s="32">
        <f>Q44-Q48</f>
        <v>0</v>
      </c>
      <c r="R55" s="26" t="s">
        <v>98</v>
      </c>
      <c r="T55" s="40"/>
      <c r="V55" s="34"/>
      <c r="X55" s="28"/>
      <c r="AA55" s="40"/>
    </row>
    <row r="56" spans="1:27" x14ac:dyDescent="0.25">
      <c r="A56" s="36" t="s">
        <v>56</v>
      </c>
      <c r="C56" s="32">
        <f>C45-C49-C50</f>
        <v>0</v>
      </c>
      <c r="D56" s="26" t="s">
        <v>86</v>
      </c>
      <c r="F56" s="40"/>
      <c r="H56" s="34" t="s">
        <v>56</v>
      </c>
      <c r="J56" s="32">
        <f>-MIN(0,J35-J45)</f>
        <v>0</v>
      </c>
      <c r="K56" s="26" t="s">
        <v>105</v>
      </c>
      <c r="M56" s="40"/>
      <c r="O56" s="34" t="s">
        <v>56</v>
      </c>
      <c r="Q56" s="32">
        <f>-MIN(0,P21-Q45)</f>
        <v>0</v>
      </c>
      <c r="R56" s="26" t="s">
        <v>106</v>
      </c>
      <c r="T56" s="40"/>
      <c r="V56" s="34"/>
      <c r="X56" s="28"/>
      <c r="AA56" s="40"/>
    </row>
    <row r="57" spans="1:27" x14ac:dyDescent="0.25">
      <c r="A57" s="36" t="s">
        <v>171</v>
      </c>
      <c r="C57" s="32">
        <f>C46-C51</f>
        <v>0</v>
      </c>
      <c r="D57" s="26" t="s">
        <v>87</v>
      </c>
      <c r="F57" s="40"/>
      <c r="H57" s="34" t="s">
        <v>171</v>
      </c>
      <c r="J57" s="93" t="s">
        <v>73</v>
      </c>
      <c r="K57" s="26" t="s">
        <v>93</v>
      </c>
      <c r="M57" s="40"/>
      <c r="O57" s="34" t="s">
        <v>171</v>
      </c>
      <c r="Q57" s="93" t="s">
        <v>73</v>
      </c>
      <c r="R57" s="26" t="s">
        <v>99</v>
      </c>
      <c r="T57" s="40"/>
      <c r="V57" s="34"/>
      <c r="X57" s="28"/>
      <c r="AA57" s="40"/>
    </row>
    <row r="58" spans="1:27" x14ac:dyDescent="0.25">
      <c r="A58" s="36"/>
      <c r="C58" s="28"/>
      <c r="F58" s="40"/>
      <c r="H58" s="34"/>
      <c r="J58" s="28"/>
      <c r="M58" s="40"/>
      <c r="O58" s="34"/>
      <c r="Q58" s="28"/>
      <c r="T58" s="40"/>
      <c r="V58" s="34"/>
      <c r="X58" s="28"/>
      <c r="AA58" s="40"/>
    </row>
    <row r="59" spans="1:27" ht="45" customHeight="1" x14ac:dyDescent="0.25">
      <c r="A59" s="136" t="s">
        <v>50</v>
      </c>
      <c r="B59" s="137"/>
      <c r="C59" s="137"/>
      <c r="D59" s="137"/>
      <c r="E59" s="137"/>
      <c r="F59" s="138"/>
      <c r="H59" s="136" t="s">
        <v>50</v>
      </c>
      <c r="I59" s="137"/>
      <c r="J59" s="137"/>
      <c r="K59" s="137"/>
      <c r="L59" s="137"/>
      <c r="M59" s="138"/>
      <c r="O59" s="136" t="s">
        <v>50</v>
      </c>
      <c r="P59" s="137"/>
      <c r="Q59" s="137"/>
      <c r="R59" s="137"/>
      <c r="S59" s="137"/>
      <c r="T59" s="138"/>
      <c r="V59" s="124"/>
      <c r="W59" s="125"/>
      <c r="X59" s="125"/>
      <c r="Y59" s="125"/>
      <c r="Z59" s="125"/>
      <c r="AA59" s="126"/>
    </row>
    <row r="60" spans="1:27" ht="15.75" customHeight="1" x14ac:dyDescent="0.25">
      <c r="A60" s="36" t="s">
        <v>57</v>
      </c>
      <c r="C60" s="32">
        <f>MIN(C37,B37)</f>
        <v>0</v>
      </c>
      <c r="D60" s="26" t="s">
        <v>88</v>
      </c>
      <c r="F60" s="40"/>
      <c r="H60" s="34" t="s">
        <v>57</v>
      </c>
      <c r="J60" s="37" t="s">
        <v>73</v>
      </c>
      <c r="K60" s="81" t="s">
        <v>94</v>
      </c>
      <c r="M60" s="40"/>
      <c r="O60" s="34" t="s">
        <v>57</v>
      </c>
      <c r="Q60" s="37" t="s">
        <v>73</v>
      </c>
      <c r="R60" s="81" t="s">
        <v>109</v>
      </c>
      <c r="T60" s="40"/>
      <c r="V60" s="34"/>
      <c r="X60" s="1"/>
      <c r="Y60" s="81"/>
      <c r="AA60" s="40"/>
    </row>
    <row r="61" spans="1:27" x14ac:dyDescent="0.25">
      <c r="A61" s="36" t="s">
        <v>58</v>
      </c>
      <c r="C61" s="32">
        <f>C37-C60</f>
        <v>0</v>
      </c>
      <c r="D61" s="26" t="s">
        <v>88</v>
      </c>
      <c r="F61" s="40"/>
      <c r="H61" s="34" t="s">
        <v>58</v>
      </c>
      <c r="J61" s="37" t="s">
        <v>73</v>
      </c>
      <c r="K61" s="81" t="s">
        <v>94</v>
      </c>
      <c r="M61" s="40"/>
      <c r="O61" s="34" t="s">
        <v>58</v>
      </c>
      <c r="Q61" s="37" t="s">
        <v>73</v>
      </c>
      <c r="R61" s="81" t="s">
        <v>109</v>
      </c>
      <c r="T61" s="40"/>
      <c r="V61" s="34"/>
      <c r="X61" s="1"/>
      <c r="Y61" s="81"/>
      <c r="AA61" s="40"/>
    </row>
    <row r="62" spans="1:27" x14ac:dyDescent="0.25">
      <c r="A62" s="36"/>
      <c r="F62" s="40"/>
      <c r="H62" s="34"/>
      <c r="M62" s="40"/>
      <c r="O62" s="34"/>
      <c r="Q62" s="77"/>
      <c r="R62" s="81"/>
      <c r="T62" s="40"/>
      <c r="V62" s="34"/>
      <c r="X62" s="1"/>
      <c r="Y62" s="81"/>
      <c r="AA62" s="40"/>
    </row>
    <row r="63" spans="1:27" x14ac:dyDescent="0.25">
      <c r="A63" s="36" t="s">
        <v>59</v>
      </c>
      <c r="C63" s="32">
        <f>MIN(C38,B38)</f>
        <v>0</v>
      </c>
      <c r="D63" s="26" t="s">
        <v>107</v>
      </c>
      <c r="F63" s="40"/>
      <c r="H63" s="34" t="s">
        <v>59</v>
      </c>
      <c r="J63" s="32">
        <f>MIN(J38,I38)</f>
        <v>0</v>
      </c>
      <c r="K63" s="26" t="s">
        <v>108</v>
      </c>
      <c r="M63" s="40"/>
      <c r="O63" s="34" t="s">
        <v>59</v>
      </c>
      <c r="Q63" s="37" t="s">
        <v>73</v>
      </c>
      <c r="R63" s="81" t="s">
        <v>110</v>
      </c>
      <c r="T63" s="40"/>
      <c r="V63" s="34"/>
      <c r="X63" s="1"/>
      <c r="Y63" s="81"/>
      <c r="AA63" s="40"/>
    </row>
    <row r="64" spans="1:27" x14ac:dyDescent="0.25">
      <c r="A64" s="36" t="s">
        <v>60</v>
      </c>
      <c r="C64" s="32">
        <f>C38-C63</f>
        <v>0</v>
      </c>
      <c r="D64" s="26" t="s">
        <v>107</v>
      </c>
      <c r="F64" s="40"/>
      <c r="H64" s="34" t="s">
        <v>60</v>
      </c>
      <c r="J64" s="32">
        <f>J38-J63</f>
        <v>0</v>
      </c>
      <c r="K64" s="26" t="s">
        <v>108</v>
      </c>
      <c r="M64" s="40"/>
      <c r="O64" s="34" t="s">
        <v>60</v>
      </c>
      <c r="Q64" s="37" t="s">
        <v>73</v>
      </c>
      <c r="R64" s="81" t="s">
        <v>110</v>
      </c>
      <c r="T64" s="40"/>
      <c r="V64" s="34"/>
      <c r="X64" s="1"/>
      <c r="Y64" s="81"/>
      <c r="AA64" s="40"/>
    </row>
    <row r="65" spans="1:27" x14ac:dyDescent="0.25">
      <c r="A65" s="36"/>
      <c r="F65" s="40"/>
      <c r="H65" s="34"/>
      <c r="M65" s="40"/>
      <c r="O65" s="34"/>
      <c r="T65" s="40"/>
      <c r="V65" s="34"/>
      <c r="X65" s="1"/>
      <c r="AA65" s="40"/>
    </row>
    <row r="66" spans="1:27" x14ac:dyDescent="0.25">
      <c r="A66" s="63" t="s">
        <v>61</v>
      </c>
      <c r="B66" s="30"/>
      <c r="C66" s="33">
        <f>B32-SUM(C44,C45,C60,C63)</f>
        <v>0</v>
      </c>
      <c r="D66" s="26" t="s">
        <v>83</v>
      </c>
      <c r="F66" s="40"/>
      <c r="H66" s="42" t="s">
        <v>61</v>
      </c>
      <c r="I66" s="30"/>
      <c r="J66" s="33">
        <f>I32-SUM(J44,J45,J60,J63)</f>
        <v>0</v>
      </c>
      <c r="K66" s="26" t="s">
        <v>103</v>
      </c>
      <c r="M66" s="40"/>
      <c r="O66" s="42" t="s">
        <v>61</v>
      </c>
      <c r="P66" s="30"/>
      <c r="Q66" s="33">
        <f>P32-SUM(Q44,Q45,Q60,Q63)</f>
        <v>0</v>
      </c>
      <c r="R66" s="26" t="s">
        <v>104</v>
      </c>
      <c r="T66" s="40"/>
      <c r="V66" s="42"/>
      <c r="W66" s="30"/>
      <c r="X66" s="1"/>
      <c r="AA66" s="40"/>
    </row>
    <row r="67" spans="1:27" x14ac:dyDescent="0.25">
      <c r="A67" s="36"/>
      <c r="F67" s="40"/>
      <c r="H67" s="34"/>
      <c r="M67" s="40"/>
      <c r="O67" s="34"/>
      <c r="T67" s="40"/>
      <c r="V67" s="34"/>
      <c r="X67" s="1"/>
      <c r="AA67" s="40"/>
    </row>
    <row r="68" spans="1:27" x14ac:dyDescent="0.25">
      <c r="A68" s="36" t="s">
        <v>62</v>
      </c>
      <c r="C68" s="32">
        <f>MIN(C66,C40)</f>
        <v>0</v>
      </c>
      <c r="D68" s="26" t="s">
        <v>91</v>
      </c>
      <c r="F68" s="40"/>
      <c r="H68" s="34" t="s">
        <v>62</v>
      </c>
      <c r="J68" s="32">
        <f>MIN(J66,J40)</f>
        <v>0</v>
      </c>
      <c r="K68" s="26" t="s">
        <v>97</v>
      </c>
      <c r="M68" s="40"/>
      <c r="O68" s="34" t="s">
        <v>62</v>
      </c>
      <c r="Q68" s="32">
        <f>MIN(Q66,P25)</f>
        <v>0</v>
      </c>
      <c r="R68" s="26" t="s">
        <v>101</v>
      </c>
      <c r="T68" s="40"/>
      <c r="V68" s="34"/>
      <c r="X68" s="1"/>
      <c r="AA68" s="40"/>
    </row>
    <row r="69" spans="1:27" x14ac:dyDescent="0.25">
      <c r="A69" s="36" t="s">
        <v>63</v>
      </c>
      <c r="C69" s="32">
        <f>C40-C68</f>
        <v>0</v>
      </c>
      <c r="D69" s="26" t="s">
        <v>91</v>
      </c>
      <c r="F69" s="40"/>
      <c r="H69" s="34" t="s">
        <v>63</v>
      </c>
      <c r="J69" s="32">
        <f>J40-J68</f>
        <v>0</v>
      </c>
      <c r="K69" s="26" t="s">
        <v>97</v>
      </c>
      <c r="M69" s="40"/>
      <c r="O69" s="34" t="s">
        <v>63</v>
      </c>
      <c r="Q69" s="32">
        <f>P25-Q68</f>
        <v>0</v>
      </c>
      <c r="R69" s="26" t="s">
        <v>101</v>
      </c>
      <c r="T69" s="40"/>
      <c r="V69" s="34"/>
      <c r="X69" s="1"/>
      <c r="AA69" s="40"/>
    </row>
    <row r="70" spans="1:27" x14ac:dyDescent="0.25">
      <c r="A70" s="36"/>
      <c r="C70" s="28"/>
      <c r="F70" s="40"/>
      <c r="H70" s="34"/>
      <c r="J70" s="28"/>
      <c r="M70" s="40"/>
      <c r="O70" s="34"/>
      <c r="Q70" s="28"/>
      <c r="T70" s="40"/>
      <c r="V70" s="34"/>
      <c r="X70" s="1"/>
      <c r="AA70" s="40"/>
    </row>
    <row r="71" spans="1:27" x14ac:dyDescent="0.25">
      <c r="A71" s="63" t="s">
        <v>61</v>
      </c>
      <c r="C71" s="32">
        <f>C66-C68</f>
        <v>0</v>
      </c>
      <c r="D71" s="26" t="s">
        <v>83</v>
      </c>
      <c r="F71" s="40"/>
      <c r="H71" s="42" t="s">
        <v>61</v>
      </c>
      <c r="J71" s="32">
        <f>J66-J68</f>
        <v>0</v>
      </c>
      <c r="K71" s="26" t="s">
        <v>103</v>
      </c>
      <c r="M71" s="40"/>
      <c r="O71" s="42" t="s">
        <v>61</v>
      </c>
      <c r="Q71" s="32">
        <f>Q66-Q68</f>
        <v>0</v>
      </c>
      <c r="R71" s="26" t="s">
        <v>104</v>
      </c>
      <c r="T71" s="40"/>
      <c r="V71" s="42"/>
      <c r="X71" s="1"/>
      <c r="AA71" s="40"/>
    </row>
    <row r="72" spans="1:27" x14ac:dyDescent="0.25">
      <c r="A72" s="36"/>
      <c r="F72" s="40"/>
      <c r="H72" s="34"/>
      <c r="M72" s="40"/>
      <c r="O72" s="34"/>
      <c r="T72" s="40"/>
      <c r="V72" s="34"/>
      <c r="X72" s="1"/>
      <c r="AA72" s="40"/>
    </row>
    <row r="73" spans="1:27" x14ac:dyDescent="0.25">
      <c r="A73" s="36" t="s">
        <v>64</v>
      </c>
      <c r="C73" s="32">
        <f>MIN(C71,C39)</f>
        <v>0</v>
      </c>
      <c r="D73" s="26" t="s">
        <v>90</v>
      </c>
      <c r="F73" s="40"/>
      <c r="H73" s="34" t="s">
        <v>64</v>
      </c>
      <c r="J73" s="32">
        <f>MIN(J71,J39)</f>
        <v>0</v>
      </c>
      <c r="K73" s="26" t="s">
        <v>96</v>
      </c>
      <c r="M73" s="40"/>
      <c r="O73" s="34" t="s">
        <v>64</v>
      </c>
      <c r="Q73" s="32">
        <f>MIN(Q71,P24)</f>
        <v>0</v>
      </c>
      <c r="R73" s="26" t="s">
        <v>100</v>
      </c>
      <c r="T73" s="40"/>
      <c r="V73" s="34"/>
      <c r="X73" s="1"/>
      <c r="AA73" s="40"/>
    </row>
    <row r="74" spans="1:27" x14ac:dyDescent="0.25">
      <c r="A74" s="36" t="s">
        <v>65</v>
      </c>
      <c r="C74" s="32">
        <f>C39-C73</f>
        <v>0</v>
      </c>
      <c r="D74" s="26" t="s">
        <v>90</v>
      </c>
      <c r="F74" s="40"/>
      <c r="H74" s="34" t="s">
        <v>65</v>
      </c>
      <c r="J74" s="32">
        <f>J39-J73</f>
        <v>0</v>
      </c>
      <c r="K74" s="26" t="s">
        <v>96</v>
      </c>
      <c r="M74" s="40"/>
      <c r="O74" s="34" t="s">
        <v>65</v>
      </c>
      <c r="Q74" s="32">
        <f>P24-Q73</f>
        <v>0</v>
      </c>
      <c r="R74" s="26" t="s">
        <v>100</v>
      </c>
      <c r="T74" s="40"/>
      <c r="V74" s="34"/>
      <c r="X74" s="1"/>
      <c r="AA74" s="40"/>
    </row>
    <row r="75" spans="1:27" x14ac:dyDescent="0.25">
      <c r="A75" s="36"/>
      <c r="C75" s="28"/>
      <c r="F75" s="40"/>
      <c r="H75" s="34"/>
      <c r="J75" s="28"/>
      <c r="M75" s="40"/>
      <c r="O75" s="34"/>
      <c r="Q75" s="28"/>
      <c r="T75" s="40"/>
      <c r="V75" s="34"/>
      <c r="X75" s="1"/>
      <c r="AA75" s="40"/>
    </row>
    <row r="76" spans="1:27" x14ac:dyDescent="0.25">
      <c r="A76" s="63" t="s">
        <v>61</v>
      </c>
      <c r="C76" s="32">
        <f>C71-C73</f>
        <v>0</v>
      </c>
      <c r="D76" s="26" t="s">
        <v>83</v>
      </c>
      <c r="F76" s="40"/>
      <c r="H76" s="42" t="s">
        <v>61</v>
      </c>
      <c r="J76" s="32">
        <f>J71-J73</f>
        <v>0</v>
      </c>
      <c r="K76" s="26" t="s">
        <v>103</v>
      </c>
      <c r="M76" s="40"/>
      <c r="O76" s="42" t="s">
        <v>61</v>
      </c>
      <c r="Q76" s="32">
        <f>Q71-Q73</f>
        <v>0</v>
      </c>
      <c r="R76" s="26" t="s">
        <v>104</v>
      </c>
      <c r="T76" s="40"/>
      <c r="V76" s="42"/>
      <c r="X76" s="1"/>
      <c r="AA76" s="40"/>
    </row>
    <row r="77" spans="1:27" x14ac:dyDescent="0.25">
      <c r="A77" s="36"/>
      <c r="C77" s="28"/>
      <c r="F77" s="40"/>
      <c r="H77" s="34"/>
      <c r="J77" s="28"/>
      <c r="M77" s="40"/>
      <c r="O77" s="34"/>
      <c r="Q77" s="28"/>
      <c r="T77" s="40"/>
      <c r="V77" s="34"/>
      <c r="X77" s="1"/>
      <c r="AA77" s="40"/>
    </row>
    <row r="78" spans="1:27" x14ac:dyDescent="0.25">
      <c r="A78" s="36" t="s">
        <v>66</v>
      </c>
      <c r="C78" s="32">
        <f>MIN(C76,C53)</f>
        <v>0</v>
      </c>
      <c r="D78" s="26" t="s">
        <v>85</v>
      </c>
      <c r="F78" s="40"/>
      <c r="H78" s="34" t="s">
        <v>66</v>
      </c>
      <c r="J78" s="32">
        <f>MIN(J76,J53)</f>
        <v>0</v>
      </c>
      <c r="K78" s="26" t="s">
        <v>92</v>
      </c>
      <c r="M78" s="40"/>
      <c r="O78" s="34" t="s">
        <v>66</v>
      </c>
      <c r="Q78" s="32">
        <f>MIN(Q76,Q53)</f>
        <v>0</v>
      </c>
      <c r="R78" s="26" t="s">
        <v>98</v>
      </c>
      <c r="T78" s="40"/>
      <c r="V78" s="34"/>
      <c r="X78" s="1"/>
      <c r="AA78" s="40"/>
    </row>
    <row r="79" spans="1:27" x14ac:dyDescent="0.25">
      <c r="A79" s="36" t="s">
        <v>67</v>
      </c>
      <c r="C79" s="32">
        <f>C53-C78</f>
        <v>0</v>
      </c>
      <c r="D79" s="26" t="s">
        <v>85</v>
      </c>
      <c r="F79" s="40"/>
      <c r="H79" s="34" t="s">
        <v>67</v>
      </c>
      <c r="J79" s="32">
        <f>J53-J78</f>
        <v>0</v>
      </c>
      <c r="K79" s="26" t="s">
        <v>92</v>
      </c>
      <c r="M79" s="40"/>
      <c r="O79" s="34" t="s">
        <v>67</v>
      </c>
      <c r="Q79" s="32">
        <f>Q53-Q78</f>
        <v>0</v>
      </c>
      <c r="R79" s="26" t="s">
        <v>98</v>
      </c>
      <c r="T79" s="40"/>
      <c r="V79" s="34"/>
      <c r="X79" s="1"/>
      <c r="AA79" s="40"/>
    </row>
    <row r="80" spans="1:27" x14ac:dyDescent="0.25">
      <c r="A80" s="36"/>
      <c r="C80" s="28"/>
      <c r="F80" s="40"/>
      <c r="H80" s="34"/>
      <c r="J80" s="28"/>
      <c r="M80" s="40"/>
      <c r="O80" s="34"/>
      <c r="Q80" s="28"/>
      <c r="T80" s="40"/>
      <c r="V80" s="34"/>
      <c r="X80" s="1"/>
      <c r="AA80" s="40"/>
    </row>
    <row r="81" spans="1:27" x14ac:dyDescent="0.25">
      <c r="A81" s="63" t="s">
        <v>61</v>
      </c>
      <c r="C81" s="32">
        <f>C76-C78</f>
        <v>0</v>
      </c>
      <c r="D81" s="26" t="s">
        <v>83</v>
      </c>
      <c r="F81" s="40"/>
      <c r="H81" s="42" t="s">
        <v>61</v>
      </c>
      <c r="J81" s="32">
        <f>J76-J78</f>
        <v>0</v>
      </c>
      <c r="K81" s="26" t="s">
        <v>103</v>
      </c>
      <c r="M81" s="40"/>
      <c r="O81" s="42" t="s">
        <v>61</v>
      </c>
      <c r="Q81" s="32">
        <f>Q76-Q78</f>
        <v>0</v>
      </c>
      <c r="R81" s="26" t="s">
        <v>104</v>
      </c>
      <c r="T81" s="40"/>
      <c r="V81" s="42"/>
      <c r="X81" s="1"/>
      <c r="AA81" s="40"/>
    </row>
    <row r="82" spans="1:27" x14ac:dyDescent="0.25">
      <c r="A82" s="36"/>
      <c r="F82" s="40"/>
      <c r="H82" s="34"/>
      <c r="M82" s="40"/>
      <c r="O82" s="34"/>
      <c r="T82" s="40"/>
      <c r="V82" s="34"/>
      <c r="X82" s="1"/>
      <c r="AA82" s="40"/>
    </row>
    <row r="83" spans="1:27" x14ac:dyDescent="0.25">
      <c r="A83" s="36" t="s">
        <v>68</v>
      </c>
      <c r="C83" s="32">
        <f>MIN(C81,C54)</f>
        <v>0</v>
      </c>
      <c r="D83" s="26" t="s">
        <v>87</v>
      </c>
      <c r="F83" s="40"/>
      <c r="H83" s="34" t="s">
        <v>68</v>
      </c>
      <c r="J83" s="32">
        <f>MIN(J81,J54)</f>
        <v>0</v>
      </c>
      <c r="K83" s="26" t="s">
        <v>93</v>
      </c>
      <c r="M83" s="40"/>
      <c r="O83" s="34" t="s">
        <v>68</v>
      </c>
      <c r="Q83" s="32">
        <f>MIN(Q81,Q54)</f>
        <v>0</v>
      </c>
      <c r="R83" s="26" t="s">
        <v>99</v>
      </c>
      <c r="T83" s="40"/>
      <c r="V83" s="34"/>
      <c r="X83" s="1"/>
      <c r="AA83" s="40"/>
    </row>
    <row r="84" spans="1:27" x14ac:dyDescent="0.25">
      <c r="A84" s="36" t="s">
        <v>69</v>
      </c>
      <c r="C84" s="32">
        <f>C54-C83</f>
        <v>0</v>
      </c>
      <c r="D84" s="26" t="s">
        <v>87</v>
      </c>
      <c r="F84" s="40"/>
      <c r="H84" s="34" t="s">
        <v>69</v>
      </c>
      <c r="J84" s="32">
        <f>J54-J83</f>
        <v>0</v>
      </c>
      <c r="K84" s="26" t="s">
        <v>93</v>
      </c>
      <c r="M84" s="40"/>
      <c r="O84" s="34" t="s">
        <v>69</v>
      </c>
      <c r="Q84" s="32">
        <f>Q54-Q83</f>
        <v>0</v>
      </c>
      <c r="R84" s="26" t="s">
        <v>99</v>
      </c>
      <c r="T84" s="40"/>
      <c r="V84" s="34"/>
      <c r="X84" s="1"/>
      <c r="AA84" s="40"/>
    </row>
    <row r="85" spans="1:27" x14ac:dyDescent="0.25">
      <c r="A85" s="36"/>
      <c r="C85" s="28"/>
      <c r="F85" s="40"/>
      <c r="H85" s="34"/>
      <c r="J85" s="28"/>
      <c r="M85" s="40"/>
      <c r="O85" s="34"/>
      <c r="Q85" s="28"/>
      <c r="T85" s="40"/>
      <c r="V85" s="34"/>
      <c r="X85" s="1"/>
      <c r="AA85" s="40"/>
    </row>
    <row r="86" spans="1:27" x14ac:dyDescent="0.25">
      <c r="A86" s="63" t="s">
        <v>70</v>
      </c>
      <c r="B86" s="30"/>
      <c r="C86" s="33">
        <f>C81-C83</f>
        <v>0</v>
      </c>
      <c r="D86" s="26" t="s">
        <v>83</v>
      </c>
      <c r="F86" s="40"/>
      <c r="H86" s="42" t="s">
        <v>70</v>
      </c>
      <c r="I86" s="30"/>
      <c r="J86" s="33">
        <f>J81-J83</f>
        <v>0</v>
      </c>
      <c r="K86" s="26" t="s">
        <v>103</v>
      </c>
      <c r="M86" s="40"/>
      <c r="O86" s="42" t="s">
        <v>70</v>
      </c>
      <c r="P86" s="30"/>
      <c r="Q86" s="33">
        <f>Q81-Q83</f>
        <v>0</v>
      </c>
      <c r="R86" s="26" t="s">
        <v>104</v>
      </c>
      <c r="T86" s="40"/>
      <c r="V86" s="42"/>
      <c r="W86" s="30"/>
      <c r="X86" s="1"/>
      <c r="AA86" s="40"/>
    </row>
    <row r="87" spans="1:27" ht="15.75" thickBot="1" x14ac:dyDescent="0.3">
      <c r="A87" s="70"/>
      <c r="B87" s="71"/>
      <c r="C87" s="71"/>
      <c r="D87" s="71"/>
      <c r="E87" s="71"/>
      <c r="F87" s="72"/>
      <c r="H87" s="82"/>
      <c r="I87" s="71"/>
      <c r="J87" s="71"/>
      <c r="K87" s="71"/>
      <c r="L87" s="71"/>
      <c r="M87" s="72"/>
      <c r="O87" s="82"/>
      <c r="P87" s="71"/>
      <c r="Q87" s="71"/>
      <c r="R87" s="71"/>
      <c r="S87" s="71"/>
      <c r="T87" s="72"/>
      <c r="V87" s="82"/>
      <c r="W87" s="71"/>
      <c r="X87" s="71"/>
      <c r="Y87" s="71"/>
      <c r="Z87" s="71"/>
      <c r="AA87" s="72"/>
    </row>
    <row r="88" spans="1:27" x14ac:dyDescent="0.25"/>
    <row r="89" spans="1:27" x14ac:dyDescent="0.25"/>
    <row r="95" spans="1:27" x14ac:dyDescent="0.25"/>
  </sheetData>
  <sheetProtection algorithmName="SHA-512" hashValue="nWpReljXO0ENS7MgnmYNGcr6dIznt/5/NFZLluMOlYGjdmRmfllfi+0VO8YHhx5nRD8wEuECEOjZp19TiX9xlQ==" saltValue="e+8SstEB3IJWJUwOgqNjeA==" spinCount="100000" sheet="1" objects="1" scenarios="1"/>
  <mergeCells count="20">
    <mergeCell ref="A7:F7"/>
    <mergeCell ref="H7:M7"/>
    <mergeCell ref="O7:T7"/>
    <mergeCell ref="A27:F27"/>
    <mergeCell ref="A42:F42"/>
    <mergeCell ref="H27:M27"/>
    <mergeCell ref="O27:T27"/>
    <mergeCell ref="H42:M42"/>
    <mergeCell ref="O42:T42"/>
    <mergeCell ref="H59:M59"/>
    <mergeCell ref="O59:T59"/>
    <mergeCell ref="A19:F19"/>
    <mergeCell ref="H19:M19"/>
    <mergeCell ref="O19:T19"/>
    <mergeCell ref="A59:F59"/>
    <mergeCell ref="V7:AA7"/>
    <mergeCell ref="V42:AA42"/>
    <mergeCell ref="V59:AA59"/>
    <mergeCell ref="V8:AA8"/>
    <mergeCell ref="V16:AA16"/>
  </mergeCells>
  <dataValidations count="2">
    <dataValidation type="list" allowBlank="1" showInputMessage="1" showErrorMessage="1" sqref="D2" xr:uid="{498C4D18-7081-47D2-AB21-D0DF2AFB6ACD}">
      <formula1>"2026,2027,2028,2029,2030"</formula1>
    </dataValidation>
    <dataValidation type="list" allowBlank="1" showInputMessage="1" showErrorMessage="1" sqref="W12:W15" xr:uid="{50657D85-7730-4D5D-9258-3AE54973D8DF}">
      <formula1>"Ja,Nee"</formula1>
    </dataValidation>
  </dataValidations>
  <pageMargins left="0.7" right="0.7" top="0.75" bottom="0.75" header="0.3" footer="0.3"/>
  <pageSetup paperSize="9" orientation="portrait" horizontalDpi="1200" verticalDpi="1200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02E0-A710-4680-A63A-51F72727F924}">
  <sheetPr>
    <tabColor rgb="FFFFFF99"/>
  </sheetPr>
  <dimension ref="A1:P33"/>
  <sheetViews>
    <sheetView zoomScaleNormal="100" workbookViewId="0">
      <selection activeCell="A4" sqref="A4"/>
    </sheetView>
  </sheetViews>
  <sheetFormatPr defaultColWidth="0" defaultRowHeight="15" zeroHeight="1" x14ac:dyDescent="0.25"/>
  <cols>
    <col min="1" max="1" width="25.5703125" customWidth="1"/>
    <col min="2" max="2" width="23" customWidth="1"/>
    <col min="3" max="3" width="12.42578125" customWidth="1"/>
    <col min="4" max="4" width="4.7109375" customWidth="1"/>
    <col min="5" max="5" width="24.85546875" customWidth="1"/>
    <col min="6" max="6" width="23.28515625" customWidth="1"/>
    <col min="7" max="7" width="14.7109375" customWidth="1"/>
    <col min="8" max="8" width="4.42578125" customWidth="1"/>
    <col min="9" max="9" width="25.5703125" customWidth="1"/>
    <col min="10" max="10" width="23.7109375" customWidth="1"/>
    <col min="11" max="11" width="13.7109375" customWidth="1"/>
    <col min="12" max="12" width="4.140625" customWidth="1"/>
    <col min="13" max="13" width="26.5703125" customWidth="1"/>
    <col min="14" max="14" width="20.5703125" customWidth="1"/>
    <col min="15" max="15" width="18.7109375" customWidth="1"/>
    <col min="16" max="16" width="4" customWidth="1"/>
    <col min="17" max="16384" width="4" hidden="1"/>
  </cols>
  <sheetData>
    <row r="1" spans="1:16" ht="15.75" thickBot="1" x14ac:dyDescent="0.3">
      <c r="A1" s="39" t="s">
        <v>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x14ac:dyDescent="0.25">
      <c r="A2" s="43" t="s">
        <v>49</v>
      </c>
      <c r="B2" s="44"/>
      <c r="C2" s="45"/>
      <c r="D2" s="30"/>
      <c r="E2" s="46" t="s">
        <v>38</v>
      </c>
      <c r="F2" s="47"/>
      <c r="G2" s="48"/>
      <c r="H2" s="30"/>
      <c r="I2" s="49" t="s">
        <v>39</v>
      </c>
      <c r="J2" s="50"/>
      <c r="K2" s="51"/>
      <c r="L2" s="102"/>
      <c r="M2" s="104" t="s">
        <v>165</v>
      </c>
      <c r="N2" s="107"/>
      <c r="O2" s="108"/>
      <c r="P2" s="1"/>
    </row>
    <row r="3" spans="1:16" x14ac:dyDescent="0.25">
      <c r="A3" s="34" t="s">
        <v>143</v>
      </c>
      <c r="B3" s="26" t="s">
        <v>144</v>
      </c>
      <c r="C3" s="40"/>
      <c r="D3" s="26"/>
      <c r="E3" s="34" t="s">
        <v>143</v>
      </c>
      <c r="F3" s="26" t="s">
        <v>144</v>
      </c>
      <c r="G3" s="40"/>
      <c r="H3" s="26"/>
      <c r="I3" s="34" t="s">
        <v>143</v>
      </c>
      <c r="J3" s="26" t="s">
        <v>144</v>
      </c>
      <c r="K3" s="40"/>
      <c r="L3" s="26"/>
      <c r="M3" s="34" t="s">
        <v>143</v>
      </c>
      <c r="N3" s="26" t="s">
        <v>144</v>
      </c>
      <c r="O3" s="40"/>
      <c r="P3" s="1"/>
    </row>
    <row r="4" spans="1:16" x14ac:dyDescent="0.25">
      <c r="A4" s="85">
        <f>Doelbereik!C34</f>
        <v>0</v>
      </c>
      <c r="B4" s="85">
        <f>Doelbereik!C79</f>
        <v>0</v>
      </c>
      <c r="C4" s="40" t="s">
        <v>85</v>
      </c>
      <c r="D4" s="26"/>
      <c r="E4" s="99">
        <f>Doelbereik!J34</f>
        <v>0</v>
      </c>
      <c r="F4" s="85">
        <f>Doelbereik!J79</f>
        <v>0</v>
      </c>
      <c r="G4" s="40" t="s">
        <v>92</v>
      </c>
      <c r="H4" s="26"/>
      <c r="I4" s="99">
        <f>Doelbereik!Q34</f>
        <v>0</v>
      </c>
      <c r="J4" s="85">
        <f>Doelbereik!Q79</f>
        <v>0</v>
      </c>
      <c r="K4" s="40" t="s">
        <v>98</v>
      </c>
      <c r="L4" s="26"/>
      <c r="M4" s="99">
        <f>Doelbereik!W9</f>
        <v>0</v>
      </c>
      <c r="N4" s="85">
        <f>Doelbereik!X20</f>
        <v>0</v>
      </c>
      <c r="O4" s="40" t="s">
        <v>98</v>
      </c>
      <c r="P4" s="1"/>
    </row>
    <row r="5" spans="1:16" x14ac:dyDescent="0.25">
      <c r="A5" s="85">
        <f>Doelbereik!C35</f>
        <v>0</v>
      </c>
      <c r="B5" s="85">
        <f>Doelbereik!C84</f>
        <v>0</v>
      </c>
      <c r="C5" s="40" t="s">
        <v>87</v>
      </c>
      <c r="D5" s="26"/>
      <c r="E5" s="99">
        <f>Doelbereik!J35</f>
        <v>0</v>
      </c>
      <c r="F5" s="85">
        <f>Doelbereik!J84</f>
        <v>0</v>
      </c>
      <c r="G5" s="40" t="s">
        <v>93</v>
      </c>
      <c r="H5" s="26"/>
      <c r="I5" s="99">
        <f>Doelbereik!Q35</f>
        <v>0</v>
      </c>
      <c r="J5" s="85">
        <f>Doelbereik!Q84</f>
        <v>0</v>
      </c>
      <c r="K5" s="40" t="s">
        <v>99</v>
      </c>
      <c r="L5" s="26"/>
      <c r="M5" s="34"/>
      <c r="N5" s="26"/>
      <c r="O5" s="40"/>
      <c r="P5" s="1"/>
    </row>
    <row r="6" spans="1:16" x14ac:dyDescent="0.25">
      <c r="A6" s="85">
        <f>Doelbereik!C37</f>
        <v>0</v>
      </c>
      <c r="B6" s="85">
        <f>Doelbereik!C61</f>
        <v>0</v>
      </c>
      <c r="C6" s="40" t="s">
        <v>88</v>
      </c>
      <c r="D6" s="26"/>
      <c r="E6" s="100" t="s">
        <v>73</v>
      </c>
      <c r="F6" s="86" t="s">
        <v>73</v>
      </c>
      <c r="G6" s="40"/>
      <c r="H6" s="26"/>
      <c r="I6" s="100" t="s">
        <v>73</v>
      </c>
      <c r="J6" s="86" t="s">
        <v>73</v>
      </c>
      <c r="K6" s="40"/>
      <c r="L6" s="26"/>
      <c r="M6" s="34" t="s">
        <v>187</v>
      </c>
      <c r="N6" s="26"/>
      <c r="O6" s="40"/>
      <c r="P6" s="1"/>
    </row>
    <row r="7" spans="1:16" x14ac:dyDescent="0.25">
      <c r="A7" s="85">
        <f>Doelbereik!C38</f>
        <v>0</v>
      </c>
      <c r="B7" s="85">
        <f>Doelbereik!C64</f>
        <v>0</v>
      </c>
      <c r="C7" s="40" t="s">
        <v>89</v>
      </c>
      <c r="D7" s="26"/>
      <c r="E7" s="99">
        <f>Doelbereik!J38</f>
        <v>0</v>
      </c>
      <c r="F7" s="85">
        <f>Doelbereik!J64</f>
        <v>0</v>
      </c>
      <c r="G7" s="40" t="s">
        <v>95</v>
      </c>
      <c r="H7" s="26"/>
      <c r="I7" s="100" t="s">
        <v>73</v>
      </c>
      <c r="J7" s="86" t="s">
        <v>73</v>
      </c>
      <c r="K7" s="40"/>
      <c r="L7" s="26"/>
      <c r="M7" s="99">
        <f>A13</f>
        <v>0</v>
      </c>
      <c r="N7" s="26" t="s">
        <v>112</v>
      </c>
      <c r="O7" s="40"/>
      <c r="P7" s="1"/>
    </row>
    <row r="8" spans="1:16" x14ac:dyDescent="0.25">
      <c r="A8" s="85">
        <f>Doelbereik!C39</f>
        <v>0</v>
      </c>
      <c r="B8" s="85">
        <f>Doelbereik!C74</f>
        <v>0</v>
      </c>
      <c r="C8" s="40" t="s">
        <v>90</v>
      </c>
      <c r="D8" s="26"/>
      <c r="E8" s="99">
        <f>Doelbereik!J39</f>
        <v>0</v>
      </c>
      <c r="F8" s="85">
        <f>Doelbereik!J74</f>
        <v>0</v>
      </c>
      <c r="G8" s="40" t="s">
        <v>96</v>
      </c>
      <c r="H8" s="26"/>
      <c r="I8" s="99">
        <f>Doelbereik!Q39</f>
        <v>0</v>
      </c>
      <c r="J8" s="85">
        <f>Doelbereik!Q74</f>
        <v>0</v>
      </c>
      <c r="K8" s="40" t="s">
        <v>100</v>
      </c>
      <c r="L8" s="26"/>
      <c r="M8" s="99">
        <f>E13</f>
        <v>0</v>
      </c>
      <c r="N8" s="26" t="s">
        <v>113</v>
      </c>
      <c r="O8" s="40"/>
      <c r="P8" s="1"/>
    </row>
    <row r="9" spans="1:16" x14ac:dyDescent="0.25">
      <c r="A9" s="85">
        <f>Doelbereik!C40</f>
        <v>0</v>
      </c>
      <c r="B9" s="85">
        <f>Doelbereik!C69</f>
        <v>0</v>
      </c>
      <c r="C9" s="40" t="s">
        <v>91</v>
      </c>
      <c r="D9" s="26"/>
      <c r="E9" s="99">
        <f>Doelbereik!J40</f>
        <v>0</v>
      </c>
      <c r="F9" s="85">
        <f>Doelbereik!J69</f>
        <v>0</v>
      </c>
      <c r="G9" s="40" t="s">
        <v>97</v>
      </c>
      <c r="H9" s="26"/>
      <c r="I9" s="99">
        <f>Doelbereik!Q40</f>
        <v>0</v>
      </c>
      <c r="J9" s="85">
        <f>Doelbereik!Q69</f>
        <v>0</v>
      </c>
      <c r="K9" s="40" t="s">
        <v>101</v>
      </c>
      <c r="L9" s="26"/>
      <c r="M9" s="99">
        <f>I13</f>
        <v>0</v>
      </c>
      <c r="N9" s="26" t="s">
        <v>111</v>
      </c>
      <c r="O9" s="40"/>
      <c r="P9" s="1"/>
    </row>
    <row r="10" spans="1:16" x14ac:dyDescent="0.25">
      <c r="A10" s="34"/>
      <c r="B10" s="26"/>
      <c r="C10" s="40"/>
      <c r="D10" s="26"/>
      <c r="E10" s="34"/>
      <c r="F10" s="26"/>
      <c r="G10" s="40"/>
      <c r="H10" s="26"/>
      <c r="I10" s="34"/>
      <c r="J10" s="26"/>
      <c r="K10" s="40"/>
      <c r="L10" s="26"/>
      <c r="M10" s="111"/>
      <c r="O10" s="112"/>
      <c r="P10" s="1"/>
    </row>
    <row r="11" spans="1:16" x14ac:dyDescent="0.25">
      <c r="A11" s="34" t="s">
        <v>75</v>
      </c>
      <c r="B11" s="26"/>
      <c r="C11" s="40"/>
      <c r="D11" s="26"/>
      <c r="E11" s="34" t="s">
        <v>75</v>
      </c>
      <c r="F11" s="26"/>
      <c r="G11" s="40"/>
      <c r="H11" s="26"/>
      <c r="I11" s="34" t="s">
        <v>75</v>
      </c>
      <c r="J11" s="26"/>
      <c r="K11" s="40"/>
      <c r="L11" s="26"/>
      <c r="M11" s="109">
        <f>SUM(M7:M9)</f>
        <v>0</v>
      </c>
      <c r="N11" s="30" t="s">
        <v>188</v>
      </c>
      <c r="O11" s="40"/>
      <c r="P11" s="1"/>
    </row>
    <row r="12" spans="1:16" x14ac:dyDescent="0.25">
      <c r="A12" s="85">
        <f>Doelbereik!C55</f>
        <v>0</v>
      </c>
      <c r="B12" s="26" t="s">
        <v>85</v>
      </c>
      <c r="C12" s="40"/>
      <c r="D12" s="26"/>
      <c r="E12" s="99">
        <f>Doelbereik!J55</f>
        <v>0</v>
      </c>
      <c r="F12" s="26" t="s">
        <v>92</v>
      </c>
      <c r="G12" s="40"/>
      <c r="H12" s="26"/>
      <c r="I12" s="99">
        <f>Doelbereik!Q55</f>
        <v>0</v>
      </c>
      <c r="J12" s="26" t="s">
        <v>98</v>
      </c>
      <c r="K12" s="40"/>
      <c r="L12" s="26"/>
      <c r="M12" s="34"/>
      <c r="N12" s="26"/>
      <c r="O12" s="40"/>
      <c r="P12" s="1"/>
    </row>
    <row r="13" spans="1:16" x14ac:dyDescent="0.25">
      <c r="A13" s="85">
        <f>Doelbereik!C56</f>
        <v>0</v>
      </c>
      <c r="B13" s="26" t="s">
        <v>112</v>
      </c>
      <c r="C13" s="40"/>
      <c r="D13" s="26"/>
      <c r="E13" s="99">
        <f>Doelbereik!J56</f>
        <v>0</v>
      </c>
      <c r="F13" s="26" t="s">
        <v>113</v>
      </c>
      <c r="G13" s="40"/>
      <c r="H13" s="26"/>
      <c r="I13" s="99">
        <f>Doelbereik!Q56</f>
        <v>0</v>
      </c>
      <c r="J13" s="26" t="s">
        <v>111</v>
      </c>
      <c r="K13" s="40"/>
      <c r="L13" s="26"/>
      <c r="M13" s="34"/>
      <c r="N13" s="26"/>
      <c r="O13" s="40"/>
      <c r="P13" s="1"/>
    </row>
    <row r="14" spans="1:16" x14ac:dyDescent="0.25">
      <c r="A14" s="85">
        <f>Doelbereik!C57</f>
        <v>0</v>
      </c>
      <c r="B14" s="26" t="s">
        <v>87</v>
      </c>
      <c r="C14" s="40"/>
      <c r="D14" s="26"/>
      <c r="E14" s="101" t="str">
        <f>Doelbereik!J57</f>
        <v>-</v>
      </c>
      <c r="F14" s="26" t="s">
        <v>93</v>
      </c>
      <c r="G14" s="40"/>
      <c r="H14" s="26"/>
      <c r="I14" s="101" t="str">
        <f>Doelbereik!Q57</f>
        <v>-</v>
      </c>
      <c r="J14" s="26" t="s">
        <v>99</v>
      </c>
      <c r="K14" s="40"/>
      <c r="L14" s="26"/>
      <c r="M14" s="34"/>
      <c r="N14" s="26"/>
      <c r="O14" s="40"/>
      <c r="P14" s="1"/>
    </row>
    <row r="15" spans="1:16" x14ac:dyDescent="0.25">
      <c r="A15" s="34"/>
      <c r="B15" s="26"/>
      <c r="C15" s="40"/>
      <c r="D15" s="26"/>
      <c r="E15" s="34"/>
      <c r="F15" s="26"/>
      <c r="G15" s="40"/>
      <c r="H15" s="26"/>
      <c r="I15" s="34"/>
      <c r="J15" s="26"/>
      <c r="K15" s="40"/>
      <c r="L15" s="26"/>
      <c r="M15" s="34"/>
      <c r="N15" s="26"/>
      <c r="O15" s="40"/>
      <c r="P15" s="1"/>
    </row>
    <row r="16" spans="1:16" x14ac:dyDescent="0.25">
      <c r="A16" s="34" t="s">
        <v>76</v>
      </c>
      <c r="B16" s="26"/>
      <c r="C16" s="40"/>
      <c r="D16" s="26"/>
      <c r="E16" s="34" t="s">
        <v>76</v>
      </c>
      <c r="F16" s="26"/>
      <c r="G16" s="40"/>
      <c r="H16" s="26"/>
      <c r="I16" s="34" t="s">
        <v>76</v>
      </c>
      <c r="J16" s="26"/>
      <c r="K16" s="40"/>
      <c r="L16" s="26"/>
      <c r="M16" s="34"/>
      <c r="N16" s="26"/>
      <c r="O16" s="40"/>
      <c r="P16" s="1"/>
    </row>
    <row r="17" spans="1:16" x14ac:dyDescent="0.25">
      <c r="A17" s="85">
        <f>Doelbereik!C86</f>
        <v>0</v>
      </c>
      <c r="B17" s="26" t="s">
        <v>83</v>
      </c>
      <c r="C17" s="40"/>
      <c r="D17" s="26"/>
      <c r="E17" s="99">
        <f>Doelbereik!J86</f>
        <v>0</v>
      </c>
      <c r="F17" s="26" t="s">
        <v>103</v>
      </c>
      <c r="G17" s="40"/>
      <c r="H17" s="26"/>
      <c r="I17" s="99">
        <f>Doelbereik!Q86</f>
        <v>0</v>
      </c>
      <c r="J17" s="26" t="s">
        <v>104</v>
      </c>
      <c r="K17" s="40"/>
      <c r="L17" s="26"/>
      <c r="M17" s="34"/>
      <c r="N17" s="26"/>
      <c r="O17" s="40"/>
      <c r="P17" s="1"/>
    </row>
    <row r="18" spans="1:16" x14ac:dyDescent="0.25">
      <c r="A18" s="34"/>
      <c r="B18" s="26"/>
      <c r="C18" s="40"/>
      <c r="D18" s="26"/>
      <c r="E18" s="34"/>
      <c r="F18" s="26"/>
      <c r="G18" s="40"/>
      <c r="H18" s="26"/>
      <c r="I18" s="34"/>
      <c r="J18" s="26"/>
      <c r="K18" s="40"/>
      <c r="L18" s="26"/>
      <c r="M18" s="34"/>
      <c r="N18" s="26"/>
      <c r="O18" s="40"/>
      <c r="P18" s="1"/>
    </row>
    <row r="19" spans="1:16" x14ac:dyDescent="0.25">
      <c r="A19" s="41" t="s">
        <v>117</v>
      </c>
      <c r="B19" s="26"/>
      <c r="C19" s="40"/>
      <c r="D19" s="26"/>
      <c r="E19" s="41" t="s">
        <v>117</v>
      </c>
      <c r="F19" s="26"/>
      <c r="G19" s="40"/>
      <c r="H19" s="26"/>
      <c r="I19" s="41" t="s">
        <v>117</v>
      </c>
      <c r="J19" s="28"/>
      <c r="K19" s="40"/>
      <c r="L19" s="26"/>
      <c r="M19" s="34"/>
      <c r="N19" s="26"/>
      <c r="O19" s="40"/>
      <c r="P19" s="1"/>
    </row>
    <row r="20" spans="1:16" x14ac:dyDescent="0.25">
      <c r="A20" s="86" t="s">
        <v>73</v>
      </c>
      <c r="B20" s="26" t="s">
        <v>74</v>
      </c>
      <c r="C20" s="40"/>
      <c r="D20" s="26"/>
      <c r="E20" s="99">
        <f>Doelbereik!I31</f>
        <v>0</v>
      </c>
      <c r="F20" s="26" t="s">
        <v>74</v>
      </c>
      <c r="G20" s="40"/>
      <c r="H20" s="26"/>
      <c r="I20" s="99">
        <f>Doelbereik!P31</f>
        <v>0</v>
      </c>
      <c r="J20" s="28" t="s">
        <v>74</v>
      </c>
      <c r="K20" s="40"/>
      <c r="L20" s="26"/>
      <c r="M20" s="34"/>
      <c r="N20" s="26"/>
      <c r="O20" s="40"/>
      <c r="P20" s="1"/>
    </row>
    <row r="21" spans="1:16" x14ac:dyDescent="0.25">
      <c r="A21" s="41"/>
      <c r="B21" s="26"/>
      <c r="C21" s="40"/>
      <c r="D21" s="26"/>
      <c r="E21" s="41"/>
      <c r="F21" s="26"/>
      <c r="G21" s="40"/>
      <c r="H21" s="26"/>
      <c r="I21" s="34"/>
      <c r="J21" s="28"/>
      <c r="K21" s="40"/>
      <c r="L21" s="26"/>
      <c r="M21" s="34"/>
      <c r="N21" s="26"/>
      <c r="O21" s="40"/>
      <c r="P21" s="1"/>
    </row>
    <row r="22" spans="1:16" x14ac:dyDescent="0.25">
      <c r="A22" s="42" t="s">
        <v>77</v>
      </c>
      <c r="B22" s="26"/>
      <c r="C22" s="40"/>
      <c r="D22" s="26"/>
      <c r="E22" s="42" t="s">
        <v>77</v>
      </c>
      <c r="F22" s="26"/>
      <c r="G22" s="40"/>
      <c r="H22" s="26"/>
      <c r="I22" s="42" t="s">
        <v>77</v>
      </c>
      <c r="J22" s="26"/>
      <c r="K22" s="40"/>
      <c r="L22" s="26"/>
      <c r="M22" s="34"/>
      <c r="N22" s="26"/>
      <c r="O22" s="40"/>
      <c r="P22" s="1"/>
    </row>
    <row r="23" spans="1:16" x14ac:dyDescent="0.25">
      <c r="A23" s="85">
        <f>Doelbereik!B37-Doelbereik!C60</f>
        <v>0</v>
      </c>
      <c r="B23" s="26" t="s">
        <v>88</v>
      </c>
      <c r="C23" s="40"/>
      <c r="D23" s="26"/>
      <c r="E23" s="100" t="s">
        <v>73</v>
      </c>
      <c r="F23" s="26" t="s">
        <v>22</v>
      </c>
      <c r="G23" s="40"/>
      <c r="H23" s="26"/>
      <c r="I23" s="100" t="s">
        <v>73</v>
      </c>
      <c r="J23" s="26" t="s">
        <v>22</v>
      </c>
      <c r="K23" s="40"/>
      <c r="L23" s="26"/>
      <c r="M23" s="34"/>
      <c r="N23" s="26"/>
      <c r="O23" s="40"/>
      <c r="P23" s="1"/>
    </row>
    <row r="24" spans="1:16" x14ac:dyDescent="0.25">
      <c r="A24" s="85">
        <f>Doelbereik!B38-Doelbereik!C63</f>
        <v>0</v>
      </c>
      <c r="B24" s="26" t="s">
        <v>89</v>
      </c>
      <c r="C24" s="40"/>
      <c r="D24" s="26"/>
      <c r="E24" s="99">
        <f>Doelbereik!I38-Doelbereik!J63</f>
        <v>0</v>
      </c>
      <c r="F24" s="26" t="s">
        <v>23</v>
      </c>
      <c r="G24" s="40"/>
      <c r="H24" s="26"/>
      <c r="I24" s="100" t="s">
        <v>73</v>
      </c>
      <c r="J24" s="26" t="s">
        <v>23</v>
      </c>
      <c r="K24" s="40"/>
      <c r="L24" s="26"/>
      <c r="M24" s="34"/>
      <c r="N24" s="26"/>
      <c r="O24" s="40"/>
      <c r="P24" s="1"/>
    </row>
    <row r="25" spans="1:16" x14ac:dyDescent="0.25">
      <c r="A25" s="34"/>
      <c r="B25" s="26"/>
      <c r="C25" s="40"/>
      <c r="D25" s="26"/>
      <c r="E25" s="34"/>
      <c r="F25" s="26"/>
      <c r="G25" s="40"/>
      <c r="H25" s="26"/>
      <c r="I25" s="34"/>
      <c r="J25" s="26"/>
      <c r="K25" s="40"/>
      <c r="L25" s="26"/>
      <c r="M25" s="34"/>
      <c r="N25" s="26"/>
      <c r="O25" s="40"/>
      <c r="P25" s="1"/>
    </row>
    <row r="26" spans="1:16" x14ac:dyDescent="0.25">
      <c r="A26" s="42" t="s">
        <v>114</v>
      </c>
      <c r="B26" s="26"/>
      <c r="C26" s="40"/>
      <c r="D26" s="26"/>
      <c r="E26" s="42" t="s">
        <v>115</v>
      </c>
      <c r="F26" s="26"/>
      <c r="G26" s="40"/>
      <c r="H26" s="26"/>
      <c r="I26" s="42" t="s">
        <v>116</v>
      </c>
      <c r="J26" s="26"/>
      <c r="K26" s="40"/>
      <c r="L26" s="26"/>
      <c r="M26" s="34"/>
      <c r="N26" s="26"/>
      <c r="O26" s="40"/>
      <c r="P26" s="1"/>
    </row>
    <row r="27" spans="1:16" ht="15.75" thickBot="1" x14ac:dyDescent="0.3">
      <c r="A27" s="38"/>
      <c r="B27" s="20"/>
      <c r="C27" s="21"/>
      <c r="D27" s="1"/>
      <c r="E27" s="38"/>
      <c r="F27" s="20"/>
      <c r="G27" s="21"/>
      <c r="H27" s="1"/>
      <c r="I27" s="38"/>
      <c r="J27" s="20"/>
      <c r="K27" s="21"/>
      <c r="L27" s="1"/>
      <c r="M27" s="103"/>
      <c r="N27" s="20"/>
      <c r="O27" s="2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33" x14ac:dyDescent="0.25"/>
  </sheetData>
  <sheetProtection algorithmName="SHA-512" hashValue="+26+sLF+FKRCzkKvaypJQ40xzfsITguJYr6195c78teL0aa+slphLAf3oEx+IDjxgw83HgVAe6qy0iJASl7NXA==" saltValue="Ab0CPZHEjwXC4nwM2FeNRg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Toelichting</vt:lpstr>
      <vt:lpstr>Hoogte BTV</vt:lpstr>
      <vt:lpstr>Eenheid - Brandstoffen</vt:lpstr>
      <vt:lpstr>Invultabel leveringen</vt:lpstr>
      <vt:lpstr>Doelbereik</vt:lpstr>
      <vt:lpstr>Eind overzicht</vt:lpstr>
      <vt:lpstr>'Hoogte BTV'!Afdrukbereik</vt:lpstr>
      <vt:lpstr>Toelichting!Afdrukbereik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Voorbeeld CO2 berekening</dc:title>
  <dc:creator>Rijksdienst voor Ondernemend Nederland</dc:creator>
  <cp:lastModifiedBy>Copier, W.J. (Wim)</cp:lastModifiedBy>
  <dcterms:created xsi:type="dcterms:W3CDTF">2025-07-01T06:59:15Z</dcterms:created>
  <dcterms:modified xsi:type="dcterms:W3CDTF">2026-01-15T11:52:07Z</dcterms:modified>
</cp:coreProperties>
</file>