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:\Mijn documenten\"/>
    </mc:Choice>
  </mc:AlternateContent>
  <xr:revisionPtr revIDLastSave="0" documentId="13_ncr:1_{9D309228-61C8-49C6-9DE8-B32FA6522BF9}" xr6:coauthVersionLast="47" xr6:coauthVersionMax="47" xr10:uidLastSave="{00000000-0000-0000-0000-000000000000}"/>
  <workbookProtection workbookAlgorithmName="SHA-512" workbookHashValue="gCuYtlwOEFJQW0mhRK0IC6RXyT4AhYjRKkRcyqTbG+XiCbhRYgOzbtbAdNnE+8dHzufxiAc5JRl7E4rcXXputg==" workbookSaltValue="EhjOtFTvxGFZCl8RMLf29Q==" workbookSpinCount="100000" lockStructure="1"/>
  <bookViews>
    <workbookView xWindow="-120" yWindow="-120" windowWidth="29040" windowHeight="15840" tabRatio="805" firstSheet="1" activeTab="10" xr2:uid="{E3B0602E-1093-45F9-B7F2-0B5B2B211D96}"/>
  </bookViews>
  <sheets>
    <sheet name="HANDLEIDING" sheetId="20" r:id="rId1"/>
    <sheet name="START" sheetId="1" r:id="rId2"/>
    <sheet name="KENGETALLEN" sheetId="23" r:id="rId3"/>
    <sheet name="Sloop-nieuwbouw plannen" sheetId="14" r:id="rId4"/>
    <sheet name="Verduurzamingsplannen" sheetId="30" r:id="rId5"/>
    <sheet name="Maatwerk woningverbeteren" sheetId="18" r:id="rId6"/>
    <sheet name="Maatwerk transformatie" sheetId="28" r:id="rId7"/>
    <sheet name="Inponden" sheetId="36" r:id="rId8"/>
    <sheet name="Btw" sheetId="35" r:id="rId9"/>
    <sheet name="Secundaire activiteiten" sheetId="34" r:id="rId10"/>
    <sheet name="DASHBOARD" sheetId="21" r:id="rId11"/>
    <sheet name="Exploitatie part. verhuur nieuw" sheetId="31" state="hidden" r:id="rId12"/>
    <sheet name="Bron getallen sloop-nieuwbouw" sheetId="13" state="hidden" r:id="rId13"/>
    <sheet name="Kengetal sloop-nieuwbouw" sheetId="24" state="hidden" r:id="rId14"/>
    <sheet name="Bron getallen verduurzamen" sheetId="7" state="hidden" r:id="rId15"/>
    <sheet name="Kengetal verduurzamen" sheetId="27" state="hidden" r:id="rId16"/>
    <sheet name="Bron getallen woningverbeteren" sheetId="10" state="hidden" r:id="rId17"/>
    <sheet name="Kengetal woningverbeteren" sheetId="26" state="hidden" r:id="rId18"/>
    <sheet name="Type gebied" sheetId="2" state="hidden" r:id="rId19"/>
    <sheet name="Lijst van gemeenten" sheetId="22" state="hidden" r:id="rId2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0" i="13" l="1"/>
  <c r="G10" i="13"/>
  <c r="F10" i="13"/>
  <c r="E10" i="13"/>
  <c r="D10" i="13"/>
  <c r="C10" i="13"/>
  <c r="H9" i="13"/>
  <c r="G9" i="13"/>
  <c r="F9" i="13"/>
  <c r="E9" i="13"/>
  <c r="D9" i="13"/>
  <c r="C9" i="13"/>
  <c r="H8" i="13"/>
  <c r="G8" i="13"/>
  <c r="F8" i="13"/>
  <c r="E8" i="13"/>
  <c r="D8" i="13"/>
  <c r="C8" i="13"/>
  <c r="H5" i="13"/>
  <c r="G5" i="13"/>
  <c r="F5" i="13"/>
  <c r="E5" i="13"/>
  <c r="D5" i="13"/>
  <c r="C5" i="13"/>
  <c r="H4" i="13"/>
  <c r="G4" i="13"/>
  <c r="F4" i="13"/>
  <c r="E4" i="13"/>
  <c r="D4" i="13"/>
  <c r="C4" i="13"/>
  <c r="H3" i="13"/>
  <c r="G3" i="13"/>
  <c r="F3" i="13"/>
  <c r="E3" i="13"/>
  <c r="D3" i="13"/>
  <c r="C3" i="13"/>
  <c r="M126" i="30"/>
  <c r="L126" i="30"/>
  <c r="K126" i="30"/>
  <c r="J126" i="30"/>
  <c r="I126" i="30"/>
  <c r="D114" i="30"/>
  <c r="D64" i="23"/>
  <c r="F84" i="23"/>
  <c r="H72" i="23"/>
  <c r="G72" i="23"/>
  <c r="F72" i="23"/>
  <c r="E72" i="23"/>
  <c r="D72" i="23"/>
  <c r="G64" i="23"/>
  <c r="F64" i="23"/>
  <c r="E64" i="23"/>
  <c r="K17" i="21"/>
  <c r="D24" i="21"/>
  <c r="I20" i="30"/>
  <c r="H20" i="30"/>
  <c r="G20" i="30"/>
  <c r="F20" i="30"/>
  <c r="E20" i="30"/>
  <c r="E37" i="30"/>
  <c r="F37" i="30"/>
  <c r="G37" i="30"/>
  <c r="H37" i="30"/>
  <c r="I37" i="30"/>
  <c r="M111" i="30"/>
  <c r="L111" i="30"/>
  <c r="K111" i="30"/>
  <c r="J111" i="30"/>
  <c r="I111" i="30"/>
  <c r="J48" i="30"/>
  <c r="J31" i="30"/>
  <c r="G5" i="10"/>
  <c r="G3" i="10"/>
  <c r="E3" i="10"/>
  <c r="C8" i="10"/>
  <c r="K5" i="10" s="1"/>
  <c r="C48" i="7"/>
  <c r="F88" i="23" s="1"/>
  <c r="C46" i="7"/>
  <c r="D88" i="23" s="1"/>
  <c r="C42" i="7"/>
  <c r="C41" i="7"/>
  <c r="E84" i="23" s="1"/>
  <c r="C36" i="7"/>
  <c r="F80" i="23" s="1"/>
  <c r="C34" i="7"/>
  <c r="D80" i="23" s="1"/>
  <c r="C30" i="7"/>
  <c r="F76" i="23" s="1"/>
  <c r="C29" i="7"/>
  <c r="E76" i="23" s="1"/>
  <c r="C28" i="7"/>
  <c r="D76" i="23" s="1"/>
  <c r="C24" i="7"/>
  <c r="C22" i="7"/>
  <c r="C18" i="7"/>
  <c r="F68" i="23" s="1"/>
  <c r="C17" i="7"/>
  <c r="E68" i="23" s="1"/>
  <c r="C16" i="7"/>
  <c r="D68" i="23" s="1"/>
  <c r="C12" i="7"/>
  <c r="C11" i="7"/>
  <c r="C10" i="7"/>
  <c r="C6" i="7"/>
  <c r="F60" i="23" s="1"/>
  <c r="C5" i="7"/>
  <c r="E60" i="23" s="1"/>
  <c r="C4" i="7"/>
  <c r="D60" i="23" s="1"/>
  <c r="F4" i="7"/>
  <c r="C40" i="7" s="1"/>
  <c r="D84" i="23" s="1"/>
  <c r="C40" i="27" s="1"/>
  <c r="D50" i="7"/>
  <c r="D44" i="7"/>
  <c r="D38" i="7"/>
  <c r="D32" i="7"/>
  <c r="D26" i="7"/>
  <c r="D20" i="7"/>
  <c r="D14" i="7"/>
  <c r="D8" i="7"/>
  <c r="E246" i="18"/>
  <c r="N53" i="14"/>
  <c r="N52" i="14"/>
  <c r="N46" i="14"/>
  <c r="N45" i="14"/>
  <c r="E14" i="21"/>
  <c r="V1" i="1"/>
  <c r="N126" i="30" l="1"/>
  <c r="N111" i="30"/>
  <c r="F5" i="10"/>
  <c r="C7" i="7"/>
  <c r="G60" i="23" s="1"/>
  <c r="C19" i="7"/>
  <c r="G68" i="23" s="1"/>
  <c r="C31" i="7"/>
  <c r="G76" i="23" s="1"/>
  <c r="C43" i="7"/>
  <c r="G84" i="23" s="1"/>
  <c r="F3" i="10"/>
  <c r="J3" i="10"/>
  <c r="K3" i="10"/>
  <c r="C23" i="7"/>
  <c r="C35" i="7"/>
  <c r="E80" i="23" s="1"/>
  <c r="C47" i="7"/>
  <c r="E88" i="23" s="1"/>
  <c r="E4" i="10"/>
  <c r="J4" i="10"/>
  <c r="C41" i="27"/>
  <c r="C42" i="27"/>
  <c r="C13" i="7"/>
  <c r="C25" i="7"/>
  <c r="C37" i="7"/>
  <c r="G80" i="23" s="1"/>
  <c r="C49" i="7"/>
  <c r="G88" i="23" s="1"/>
  <c r="G4" i="10"/>
  <c r="J5" i="10"/>
  <c r="C43" i="27"/>
  <c r="F4" i="10"/>
  <c r="K4" i="10"/>
  <c r="E5" i="10"/>
  <c r="C16" i="2"/>
  <c r="C15" i="2"/>
  <c r="C14" i="2"/>
  <c r="C13" i="2"/>
  <c r="D88" i="28"/>
  <c r="D242" i="18"/>
  <c r="C58" i="14"/>
  <c r="D111" i="18" l="1"/>
  <c r="D117" i="18" s="1"/>
  <c r="D236" i="18" l="1"/>
  <c r="D235" i="18"/>
  <c r="D244" i="18"/>
  <c r="Q26" i="14"/>
  <c r="Q25" i="14"/>
  <c r="Q19" i="14"/>
  <c r="Q18" i="14"/>
  <c r="C50" i="21"/>
  <c r="AE40" i="21"/>
  <c r="AE39" i="21"/>
  <c r="AE38" i="21"/>
  <c r="AD40" i="21"/>
  <c r="AD39" i="21"/>
  <c r="AD38" i="21"/>
  <c r="AD36" i="21"/>
  <c r="AD35" i="21"/>
  <c r="AD41" i="21"/>
  <c r="N25" i="36"/>
  <c r="S36" i="36"/>
  <c r="R36" i="36"/>
  <c r="Q36" i="36"/>
  <c r="P36" i="36"/>
  <c r="O36" i="36"/>
  <c r="N36" i="36"/>
  <c r="S35" i="36"/>
  <c r="R35" i="36"/>
  <c r="Q35" i="36"/>
  <c r="P35" i="36"/>
  <c r="O35" i="36"/>
  <c r="N35" i="36"/>
  <c r="S34" i="36"/>
  <c r="R34" i="36"/>
  <c r="Q34" i="36"/>
  <c r="P34" i="36"/>
  <c r="O34" i="36"/>
  <c r="N34" i="36"/>
  <c r="D80" i="14"/>
  <c r="S27" i="36"/>
  <c r="R27" i="36"/>
  <c r="Q27" i="36"/>
  <c r="P27" i="36"/>
  <c r="O27" i="36"/>
  <c r="N27" i="36"/>
  <c r="S26" i="36"/>
  <c r="R26" i="36"/>
  <c r="Q26" i="36"/>
  <c r="P26" i="36"/>
  <c r="O26" i="36"/>
  <c r="N26" i="36"/>
  <c r="S25" i="36"/>
  <c r="R25" i="36"/>
  <c r="Q25" i="36"/>
  <c r="P25" i="36"/>
  <c r="O25" i="36"/>
  <c r="E15" i="18"/>
  <c r="I56" i="21"/>
  <c r="I49" i="21"/>
  <c r="I43" i="21"/>
  <c r="I37" i="21"/>
  <c r="D35" i="18"/>
  <c r="D41" i="18" s="1"/>
  <c r="Q28" i="14" l="1"/>
  <c r="Q21" i="14"/>
  <c r="R28" i="36"/>
  <c r="S28" i="36"/>
  <c r="T35" i="36"/>
  <c r="R37" i="36"/>
  <c r="T27" i="36"/>
  <c r="Q28" i="36"/>
  <c r="T34" i="36"/>
  <c r="O28" i="36"/>
  <c r="T26" i="36"/>
  <c r="T36" i="36"/>
  <c r="P28" i="36"/>
  <c r="P37" i="36"/>
  <c r="S37" i="36"/>
  <c r="T25" i="36"/>
  <c r="N28" i="36"/>
  <c r="O37" i="36"/>
  <c r="Q37" i="36"/>
  <c r="N37" i="36"/>
  <c r="D106" i="14"/>
  <c r="T37" i="36" l="1"/>
  <c r="T28" i="36"/>
  <c r="J47" i="30"/>
  <c r="J30" i="30"/>
  <c r="U1" i="1"/>
  <c r="D250" i="18"/>
  <c r="Q94" i="21" s="1"/>
  <c r="X36" i="21"/>
  <c r="W40" i="21"/>
  <c r="W39" i="21"/>
  <c r="W38" i="21"/>
  <c r="W36" i="21"/>
  <c r="W35" i="21"/>
  <c r="W34" i="21"/>
  <c r="D91" i="28"/>
  <c r="X39" i="21" s="1"/>
  <c r="D90" i="28"/>
  <c r="X38" i="21" s="1"/>
  <c r="D87" i="28"/>
  <c r="P99" i="21"/>
  <c r="P98" i="21"/>
  <c r="P97" i="21"/>
  <c r="P95" i="21"/>
  <c r="P94" i="21"/>
  <c r="P93" i="21"/>
  <c r="P90" i="21"/>
  <c r="P89" i="21"/>
  <c r="P88" i="21"/>
  <c r="P86" i="21"/>
  <c r="P85" i="21"/>
  <c r="P84" i="21"/>
  <c r="P81" i="21"/>
  <c r="P80" i="21"/>
  <c r="P79" i="21"/>
  <c r="P77" i="21"/>
  <c r="P76" i="21"/>
  <c r="P75" i="21"/>
  <c r="P72" i="21"/>
  <c r="P71" i="21"/>
  <c r="P70" i="21"/>
  <c r="P68" i="21"/>
  <c r="P67" i="21"/>
  <c r="P66" i="21"/>
  <c r="P64" i="21"/>
  <c r="P63" i="21"/>
  <c r="P62" i="21"/>
  <c r="P60" i="21"/>
  <c r="P59" i="21"/>
  <c r="P58" i="21"/>
  <c r="P56" i="21"/>
  <c r="P55" i="21"/>
  <c r="P54" i="21"/>
  <c r="P52" i="21"/>
  <c r="P51" i="21"/>
  <c r="P50" i="21"/>
  <c r="P48" i="21"/>
  <c r="P47" i="21"/>
  <c r="P46" i="21"/>
  <c r="P44" i="21"/>
  <c r="P43" i="21"/>
  <c r="P42" i="21"/>
  <c r="P40" i="21"/>
  <c r="P39" i="21"/>
  <c r="P38" i="21"/>
  <c r="P36" i="21"/>
  <c r="P35" i="21"/>
  <c r="P34" i="21"/>
  <c r="D254" i="18"/>
  <c r="Q98" i="21" s="1"/>
  <c r="D253" i="18"/>
  <c r="Q97" i="21" s="1"/>
  <c r="D251" i="18"/>
  <c r="Q95" i="21" s="1"/>
  <c r="D245" i="18"/>
  <c r="Q89" i="21" s="1"/>
  <c r="D241" i="18"/>
  <c r="Q85" i="21" s="1"/>
  <c r="Q88" i="21"/>
  <c r="Q86" i="21"/>
  <c r="D232" i="18"/>
  <c r="Q80" i="21"/>
  <c r="Q79" i="21"/>
  <c r="D233" i="18"/>
  <c r="Q77" i="21" s="1"/>
  <c r="D227" i="18"/>
  <c r="Q71" i="21" s="1"/>
  <c r="D226" i="18"/>
  <c r="Q70" i="21" s="1"/>
  <c r="D224" i="18"/>
  <c r="Q68" i="21" s="1"/>
  <c r="D218" i="18"/>
  <c r="Q63" i="21" s="1"/>
  <c r="D217" i="18"/>
  <c r="Q62" i="21" s="1"/>
  <c r="D215" i="18"/>
  <c r="Q60" i="21" s="1"/>
  <c r="D209" i="18"/>
  <c r="Q55" i="21" s="1"/>
  <c r="D208" i="18"/>
  <c r="Q54" i="21" s="1"/>
  <c r="D206" i="18"/>
  <c r="Q52" i="21" s="1"/>
  <c r="D200" i="18"/>
  <c r="Q47" i="21" s="1"/>
  <c r="D199" i="18"/>
  <c r="Q46" i="21" s="1"/>
  <c r="D197" i="18"/>
  <c r="Q44" i="21" s="1"/>
  <c r="D191" i="18"/>
  <c r="Q39" i="21" s="1"/>
  <c r="D190" i="18"/>
  <c r="Q38" i="21" s="1"/>
  <c r="D188" i="18"/>
  <c r="Q36" i="21" s="1"/>
  <c r="D183" i="18"/>
  <c r="D182" i="18"/>
  <c r="E14" i="18"/>
  <c r="E6" i="36" l="1"/>
  <c r="E5" i="36"/>
  <c r="AE36" i="21" s="1"/>
  <c r="E4" i="36"/>
  <c r="AE35" i="21" s="1"/>
  <c r="C17" i="1"/>
  <c r="D9" i="1"/>
  <c r="D12" i="1"/>
  <c r="X35" i="21"/>
  <c r="D89" i="28"/>
  <c r="D234" i="18"/>
  <c r="Q76" i="21"/>
  <c r="D252" i="18"/>
  <c r="D243" i="18"/>
  <c r="E13" i="18"/>
  <c r="O35" i="18"/>
  <c r="O41" i="18" s="1"/>
  <c r="I7" i="21"/>
  <c r="I61" i="21"/>
  <c r="I60" i="21"/>
  <c r="I58" i="21"/>
  <c r="I57" i="21"/>
  <c r="I54" i="21"/>
  <c r="I53" i="21"/>
  <c r="I51" i="21"/>
  <c r="I50" i="21"/>
  <c r="I47" i="21"/>
  <c r="I46" i="21"/>
  <c r="I45" i="21"/>
  <c r="I44" i="21"/>
  <c r="I41" i="21"/>
  <c r="I40" i="21"/>
  <c r="I39" i="21"/>
  <c r="I38" i="21"/>
  <c r="C62" i="21"/>
  <c r="C52" i="21"/>
  <c r="C48" i="21"/>
  <c r="C42" i="21"/>
  <c r="C70" i="21"/>
  <c r="C69" i="21"/>
  <c r="C67" i="21"/>
  <c r="C66" i="21"/>
  <c r="C65" i="21"/>
  <c r="C64" i="21"/>
  <c r="C63" i="21"/>
  <c r="C60" i="21"/>
  <c r="C59" i="21"/>
  <c r="C57" i="21"/>
  <c r="C56" i="21"/>
  <c r="C55" i="21"/>
  <c r="C54" i="21"/>
  <c r="C53" i="21"/>
  <c r="C49" i="21"/>
  <c r="C46" i="21"/>
  <c r="C45" i="21"/>
  <c r="C44" i="21"/>
  <c r="C43" i="21"/>
  <c r="C40" i="21"/>
  <c r="C39" i="21"/>
  <c r="C38" i="21"/>
  <c r="D108" i="30"/>
  <c r="D111" i="30"/>
  <c r="J44" i="21" s="1"/>
  <c r="C50" i="7"/>
  <c r="H88" i="23" s="1"/>
  <c r="C44" i="7"/>
  <c r="H84" i="23" s="1"/>
  <c r="C44" i="27" s="1"/>
  <c r="M124" i="30" s="1"/>
  <c r="C38" i="7"/>
  <c r="H80" i="23" s="1"/>
  <c r="C32" i="7"/>
  <c r="H76" i="23" s="1"/>
  <c r="C26" i="7"/>
  <c r="C20" i="7"/>
  <c r="H68" i="23" s="1"/>
  <c r="C14" i="7"/>
  <c r="H64" i="23" s="1"/>
  <c r="C8" i="7"/>
  <c r="H60" i="23" s="1"/>
  <c r="C8" i="27"/>
  <c r="C14" i="27"/>
  <c r="C20" i="27"/>
  <c r="M120" i="30" s="1"/>
  <c r="C26" i="27"/>
  <c r="C32" i="27"/>
  <c r="C38" i="27"/>
  <c r="C50" i="27"/>
  <c r="C49" i="27"/>
  <c r="D105" i="30"/>
  <c r="J38" i="21" s="1"/>
  <c r="D35" i="30"/>
  <c r="D18" i="30"/>
  <c r="J46" i="30"/>
  <c r="J45" i="30"/>
  <c r="J44" i="30"/>
  <c r="J43" i="30"/>
  <c r="J42" i="30"/>
  <c r="J41" i="30"/>
  <c r="J40" i="30"/>
  <c r="J29" i="30"/>
  <c r="J28" i="30"/>
  <c r="J27" i="30"/>
  <c r="J26" i="30"/>
  <c r="J25" i="30"/>
  <c r="J24" i="30"/>
  <c r="J23" i="30"/>
  <c r="I66" i="14"/>
  <c r="H66" i="14"/>
  <c r="G66" i="14"/>
  <c r="F66" i="14"/>
  <c r="E66" i="14"/>
  <c r="D66" i="14"/>
  <c r="D65" i="21"/>
  <c r="D104" i="14"/>
  <c r="D63" i="21" s="1"/>
  <c r="D96" i="14"/>
  <c r="D55" i="21" s="1"/>
  <c r="D94" i="14"/>
  <c r="D53" i="21" s="1"/>
  <c r="D81" i="14"/>
  <c r="D40" i="21" s="1"/>
  <c r="D39" i="21"/>
  <c r="H3" i="31"/>
  <c r="G3" i="31"/>
  <c r="F3" i="31"/>
  <c r="E3" i="31"/>
  <c r="D3" i="31"/>
  <c r="C3" i="31"/>
  <c r="B145" i="31"/>
  <c r="B144" i="31"/>
  <c r="B81" i="31"/>
  <c r="B15" i="31"/>
  <c r="H5" i="31"/>
  <c r="G5" i="31"/>
  <c r="F5" i="31"/>
  <c r="E5" i="31"/>
  <c r="D5" i="31"/>
  <c r="C5" i="31"/>
  <c r="H2" i="31"/>
  <c r="H13" i="31" s="1"/>
  <c r="G2" i="31"/>
  <c r="G13" i="31" s="1"/>
  <c r="F2" i="31"/>
  <c r="F142" i="31" s="1"/>
  <c r="L142" i="31" s="1"/>
  <c r="E2" i="31"/>
  <c r="E142" i="31" s="1"/>
  <c r="K142" i="31" s="1"/>
  <c r="D2" i="31"/>
  <c r="C2" i="31"/>
  <c r="J26" i="14"/>
  <c r="J25" i="14"/>
  <c r="S28" i="14"/>
  <c r="T28" i="14"/>
  <c r="U28" i="14"/>
  <c r="V28" i="14"/>
  <c r="J19" i="14"/>
  <c r="D97" i="30"/>
  <c r="D96" i="30"/>
  <c r="AE37" i="21" l="1"/>
  <c r="E10" i="36"/>
  <c r="F10" i="36" s="1"/>
  <c r="D6" i="36"/>
  <c r="AD37" i="21" s="1"/>
  <c r="D237" i="18"/>
  <c r="C234" i="18"/>
  <c r="P78" i="21" s="1"/>
  <c r="D118" i="30"/>
  <c r="J51" i="21" s="1"/>
  <c r="D255" i="18"/>
  <c r="C252" i="18"/>
  <c r="P96" i="21" s="1"/>
  <c r="D92" i="28"/>
  <c r="C89" i="28"/>
  <c r="W37" i="21" s="1"/>
  <c r="D246" i="18"/>
  <c r="Q90" i="21" s="1"/>
  <c r="C243" i="18"/>
  <c r="P87" i="21" s="1"/>
  <c r="X37" i="21"/>
  <c r="L125" i="30"/>
  <c r="L110" i="30"/>
  <c r="M125" i="30"/>
  <c r="M110" i="30"/>
  <c r="Q87" i="21"/>
  <c r="Q78" i="21"/>
  <c r="J28" i="14"/>
  <c r="Q96" i="21"/>
  <c r="J41" i="21"/>
  <c r="M109" i="30"/>
  <c r="M118" i="30"/>
  <c r="M119" i="30"/>
  <c r="M121" i="30"/>
  <c r="M122" i="30"/>
  <c r="M123" i="30"/>
  <c r="H113" i="30"/>
  <c r="M108" i="30"/>
  <c r="M107" i="30"/>
  <c r="M106" i="30"/>
  <c r="M105" i="30"/>
  <c r="M103" i="30"/>
  <c r="M104" i="30"/>
  <c r="J37" i="30"/>
  <c r="N56" i="30" s="1"/>
  <c r="J20" i="30"/>
  <c r="K13" i="31"/>
  <c r="F15" i="31"/>
  <c r="L15" i="31" s="1"/>
  <c r="N13" i="31"/>
  <c r="F13" i="31"/>
  <c r="E15" i="31"/>
  <c r="K15" i="31" s="1"/>
  <c r="G14" i="31"/>
  <c r="M14" i="31" s="1"/>
  <c r="I80" i="31"/>
  <c r="O80" i="31"/>
  <c r="C80" i="31"/>
  <c r="C14" i="31"/>
  <c r="J80" i="31"/>
  <c r="P80" i="31"/>
  <c r="D80" i="31"/>
  <c r="D14" i="31"/>
  <c r="C142" i="31"/>
  <c r="I142" i="31" s="1"/>
  <c r="C79" i="31"/>
  <c r="I79" i="31" s="1"/>
  <c r="O79" i="31" s="1"/>
  <c r="Q80" i="31"/>
  <c r="K80" i="31"/>
  <c r="E80" i="31"/>
  <c r="G15" i="31"/>
  <c r="M15" i="31" s="1"/>
  <c r="B16" i="31"/>
  <c r="E79" i="31"/>
  <c r="K79" i="31" s="1"/>
  <c r="Q79" i="31" s="1"/>
  <c r="D142" i="31"/>
  <c r="J142" i="31" s="1"/>
  <c r="D79" i="31"/>
  <c r="J79" i="31" s="1"/>
  <c r="P79" i="31" s="1"/>
  <c r="R80" i="31"/>
  <c r="F80" i="31"/>
  <c r="L80" i="31"/>
  <c r="I13" i="31"/>
  <c r="E14" i="31"/>
  <c r="H15" i="31"/>
  <c r="N15" i="31" s="1"/>
  <c r="F79" i="31"/>
  <c r="L79" i="31" s="1"/>
  <c r="R79" i="31" s="1"/>
  <c r="G80" i="31"/>
  <c r="S80" i="31"/>
  <c r="M80" i="31"/>
  <c r="J13" i="31"/>
  <c r="F14" i="31"/>
  <c r="H80" i="31"/>
  <c r="N80" i="31"/>
  <c r="T80" i="31"/>
  <c r="C13" i="31"/>
  <c r="G142" i="31"/>
  <c r="M142" i="31" s="1"/>
  <c r="G79" i="31"/>
  <c r="M79" i="31" s="1"/>
  <c r="S79" i="31" s="1"/>
  <c r="D13" i="31"/>
  <c r="L13" i="31"/>
  <c r="H14" i="31"/>
  <c r="C15" i="31"/>
  <c r="I15" i="31" s="1"/>
  <c r="O81" i="31"/>
  <c r="G81" i="31"/>
  <c r="N81" i="31"/>
  <c r="F81" i="31"/>
  <c r="B82" i="31"/>
  <c r="M81" i="31"/>
  <c r="E81" i="31"/>
  <c r="T81" i="31"/>
  <c r="L81" i="31"/>
  <c r="D81" i="31"/>
  <c r="S81" i="31"/>
  <c r="K81" i="31"/>
  <c r="C81" i="31"/>
  <c r="R81" i="31"/>
  <c r="Q81" i="31"/>
  <c r="P81" i="31"/>
  <c r="J81" i="31"/>
  <c r="I81" i="31"/>
  <c r="H142" i="31"/>
  <c r="N142" i="31" s="1"/>
  <c r="H79" i="31"/>
  <c r="N79" i="31" s="1"/>
  <c r="T79" i="31" s="1"/>
  <c r="E13" i="31"/>
  <c r="M13" i="31"/>
  <c r="D15" i="31"/>
  <c r="J15" i="31" s="1"/>
  <c r="H81" i="31"/>
  <c r="B146" i="31"/>
  <c r="H98" i="30"/>
  <c r="M115" i="30" l="1"/>
  <c r="M100" i="30"/>
  <c r="X40" i="21"/>
  <c r="D20" i="21" s="1"/>
  <c r="E92" i="28"/>
  <c r="Q99" i="21"/>
  <c r="E255" i="18"/>
  <c r="Q81" i="21"/>
  <c r="E237" i="18"/>
  <c r="D106" i="30"/>
  <c r="J39" i="21" s="1"/>
  <c r="N55" i="30"/>
  <c r="D112" i="30"/>
  <c r="J45" i="21" s="1"/>
  <c r="E144" i="31"/>
  <c r="K144" i="31" s="1"/>
  <c r="D144" i="31"/>
  <c r="J144" i="31" s="1"/>
  <c r="H144" i="31"/>
  <c r="N144" i="31" s="1"/>
  <c r="G143" i="31"/>
  <c r="M143" i="31" s="1"/>
  <c r="G144" i="31"/>
  <c r="M144" i="31" s="1"/>
  <c r="F144" i="31"/>
  <c r="L144" i="31" s="1"/>
  <c r="C144" i="31"/>
  <c r="I144" i="31" s="1"/>
  <c r="J14" i="31"/>
  <c r="D143" i="31" s="1"/>
  <c r="J143" i="31" s="1"/>
  <c r="N14" i="31"/>
  <c r="H143" i="31" s="1"/>
  <c r="N143" i="31" s="1"/>
  <c r="I14" i="31"/>
  <c r="C143" i="31" s="1"/>
  <c r="I143" i="31" s="1"/>
  <c r="B147" i="31"/>
  <c r="T82" i="31"/>
  <c r="L82" i="31"/>
  <c r="D82" i="31"/>
  <c r="S82" i="31"/>
  <c r="K82" i="31"/>
  <c r="C82" i="31"/>
  <c r="R82" i="31"/>
  <c r="J82" i="31"/>
  <c r="Q82" i="31"/>
  <c r="I82" i="31"/>
  <c r="P82" i="31"/>
  <c r="H82" i="31"/>
  <c r="E82" i="31"/>
  <c r="B83" i="31"/>
  <c r="O82" i="31"/>
  <c r="N82" i="31"/>
  <c r="M82" i="31"/>
  <c r="G82" i="31"/>
  <c r="F82" i="31"/>
  <c r="K14" i="31"/>
  <c r="E143" i="31" s="1"/>
  <c r="K143" i="31" s="1"/>
  <c r="B17" i="31"/>
  <c r="G16" i="31"/>
  <c r="M16" i="31" s="1"/>
  <c r="F16" i="31"/>
  <c r="E16" i="31"/>
  <c r="K16" i="31" s="1"/>
  <c r="D16" i="31"/>
  <c r="J16" i="31" s="1"/>
  <c r="C16" i="31"/>
  <c r="I16" i="31" s="1"/>
  <c r="H16" i="31"/>
  <c r="N16" i="31" s="1"/>
  <c r="L14" i="31"/>
  <c r="F143" i="31" s="1"/>
  <c r="L143" i="31" s="1"/>
  <c r="O144" i="31" l="1"/>
  <c r="O143" i="31"/>
  <c r="P143" i="31" s="1"/>
  <c r="C145" i="31"/>
  <c r="I145" i="31" s="1"/>
  <c r="G145" i="31"/>
  <c r="M145" i="31" s="1"/>
  <c r="Q83" i="31"/>
  <c r="I83" i="31"/>
  <c r="P83" i="31"/>
  <c r="H83" i="31"/>
  <c r="O83" i="31"/>
  <c r="G83" i="31"/>
  <c r="N83" i="31"/>
  <c r="F83" i="31"/>
  <c r="B84" i="31"/>
  <c r="M83" i="31"/>
  <c r="E83" i="31"/>
  <c r="D83" i="31"/>
  <c r="C83" i="31"/>
  <c r="T83" i="31"/>
  <c r="S83" i="31"/>
  <c r="R83" i="31"/>
  <c r="L83" i="31"/>
  <c r="K83" i="31"/>
  <c r="J83" i="31"/>
  <c r="H17" i="31"/>
  <c r="B18" i="31"/>
  <c r="G17" i="31"/>
  <c r="M17" i="31" s="1"/>
  <c r="F17" i="31"/>
  <c r="L17" i="31" s="1"/>
  <c r="E17" i="31"/>
  <c r="K17" i="31" s="1"/>
  <c r="D17" i="31"/>
  <c r="J17" i="31" s="1"/>
  <c r="C17" i="31"/>
  <c r="D145" i="31"/>
  <c r="J145" i="31" s="1"/>
  <c r="L16" i="31"/>
  <c r="F145" i="31" s="1"/>
  <c r="L145" i="31" s="1"/>
  <c r="H145" i="31"/>
  <c r="N145" i="31" s="1"/>
  <c r="E145" i="31"/>
  <c r="K145" i="31" s="1"/>
  <c r="B148" i="31"/>
  <c r="P144" i="31" l="1"/>
  <c r="O145" i="31"/>
  <c r="B149" i="31"/>
  <c r="E146" i="31"/>
  <c r="K146" i="31" s="1"/>
  <c r="N84" i="31"/>
  <c r="F84" i="31"/>
  <c r="B85" i="31"/>
  <c r="M84" i="31"/>
  <c r="E84" i="31"/>
  <c r="T84" i="31"/>
  <c r="L84" i="31"/>
  <c r="D84" i="31"/>
  <c r="S84" i="31"/>
  <c r="K84" i="31"/>
  <c r="C84" i="31"/>
  <c r="R84" i="31"/>
  <c r="J84" i="31"/>
  <c r="H84" i="31"/>
  <c r="G84" i="31"/>
  <c r="Q84" i="31"/>
  <c r="P84" i="31"/>
  <c r="O84" i="31"/>
  <c r="I84" i="31"/>
  <c r="D146" i="31"/>
  <c r="J146" i="31" s="1"/>
  <c r="I17" i="31"/>
  <c r="C146" i="31" s="1"/>
  <c r="I146" i="31" s="1"/>
  <c r="F146" i="31"/>
  <c r="L146" i="31" s="1"/>
  <c r="G146" i="31"/>
  <c r="M146" i="31" s="1"/>
  <c r="E18" i="31"/>
  <c r="K18" i="31" s="1"/>
  <c r="B19" i="31"/>
  <c r="D18" i="31"/>
  <c r="C18" i="31"/>
  <c r="I18" i="31" s="1"/>
  <c r="G18" i="31"/>
  <c r="H18" i="31"/>
  <c r="N18" i="31" s="1"/>
  <c r="F18" i="31"/>
  <c r="L18" i="31" s="1"/>
  <c r="N17" i="31"/>
  <c r="H146" i="31" s="1"/>
  <c r="N146" i="31" s="1"/>
  <c r="O146" i="31" l="1"/>
  <c r="P146" i="31" s="1"/>
  <c r="S85" i="31"/>
  <c r="K85" i="31"/>
  <c r="C85" i="31"/>
  <c r="R85" i="31"/>
  <c r="J85" i="31"/>
  <c r="Q85" i="31"/>
  <c r="I85" i="31"/>
  <c r="P85" i="31"/>
  <c r="H85" i="31"/>
  <c r="O85" i="31"/>
  <c r="G85" i="31"/>
  <c r="L85" i="31"/>
  <c r="F85" i="31"/>
  <c r="E85" i="31"/>
  <c r="D85" i="31"/>
  <c r="B86" i="31"/>
  <c r="T85" i="31"/>
  <c r="N85" i="31"/>
  <c r="M85" i="31"/>
  <c r="F147" i="31"/>
  <c r="L147" i="31" s="1"/>
  <c r="H147" i="31"/>
  <c r="N147" i="31" s="1"/>
  <c r="H19" i="31"/>
  <c r="B20" i="31"/>
  <c r="G19" i="31"/>
  <c r="M19" i="31" s="1"/>
  <c r="F19" i="31"/>
  <c r="L19" i="31" s="1"/>
  <c r="E19" i="31"/>
  <c r="D19" i="31"/>
  <c r="C19" i="31"/>
  <c r="I19" i="31" s="1"/>
  <c r="E147" i="31"/>
  <c r="K147" i="31" s="1"/>
  <c r="M18" i="31"/>
  <c r="G147" i="31" s="1"/>
  <c r="M147" i="31" s="1"/>
  <c r="P145" i="31"/>
  <c r="J18" i="31"/>
  <c r="D147" i="31" s="1"/>
  <c r="J147" i="31" s="1"/>
  <c r="C147" i="31"/>
  <c r="I147" i="31" s="1"/>
  <c r="B150" i="31"/>
  <c r="C20" i="31" l="1"/>
  <c r="I20" i="31" s="1"/>
  <c r="H20" i="31"/>
  <c r="B21" i="31"/>
  <c r="G20" i="31"/>
  <c r="M20" i="31" s="1"/>
  <c r="E20" i="31"/>
  <c r="K20" i="31" s="1"/>
  <c r="F20" i="31"/>
  <c r="L20" i="31" s="1"/>
  <c r="D20" i="31"/>
  <c r="B151" i="31"/>
  <c r="O147" i="31"/>
  <c r="F148" i="31"/>
  <c r="L148" i="31" s="1"/>
  <c r="N19" i="31"/>
  <c r="H148" i="31" s="1"/>
  <c r="N148" i="31" s="1"/>
  <c r="C148" i="31"/>
  <c r="I148" i="31" s="1"/>
  <c r="J19" i="31"/>
  <c r="D148" i="31" s="1"/>
  <c r="J148" i="31" s="1"/>
  <c r="K19" i="31"/>
  <c r="E148" i="31" s="1"/>
  <c r="K148" i="31" s="1"/>
  <c r="G148" i="31"/>
  <c r="M148" i="31" s="1"/>
  <c r="P86" i="31"/>
  <c r="H86" i="31"/>
  <c r="O86" i="31"/>
  <c r="G86" i="31"/>
  <c r="N86" i="31"/>
  <c r="F86" i="31"/>
  <c r="B87" i="31"/>
  <c r="M86" i="31"/>
  <c r="E86" i="31"/>
  <c r="T86" i="31"/>
  <c r="L86" i="31"/>
  <c r="D86" i="31"/>
  <c r="S86" i="31"/>
  <c r="K86" i="31"/>
  <c r="J86" i="31"/>
  <c r="I86" i="31"/>
  <c r="C86" i="31"/>
  <c r="R86" i="31"/>
  <c r="Q86" i="31"/>
  <c r="P147" i="31" l="1"/>
  <c r="F21" i="31"/>
  <c r="E21" i="31"/>
  <c r="D21" i="31"/>
  <c r="J21" i="31" s="1"/>
  <c r="C21" i="31"/>
  <c r="I21" i="31" s="1"/>
  <c r="H21" i="31"/>
  <c r="G21" i="31"/>
  <c r="B22" i="31"/>
  <c r="B88" i="31"/>
  <c r="M87" i="31"/>
  <c r="E87" i="31"/>
  <c r="T87" i="31"/>
  <c r="L87" i="31"/>
  <c r="D87" i="31"/>
  <c r="S87" i="31"/>
  <c r="K87" i="31"/>
  <c r="C87" i="31"/>
  <c r="R87" i="31"/>
  <c r="J87" i="31"/>
  <c r="Q87" i="31"/>
  <c r="I87" i="31"/>
  <c r="P87" i="31"/>
  <c r="H87" i="31"/>
  <c r="O87" i="31"/>
  <c r="N87" i="31"/>
  <c r="G87" i="31"/>
  <c r="F87" i="31"/>
  <c r="J20" i="31"/>
  <c r="D149" i="31" s="1"/>
  <c r="J149" i="31" s="1"/>
  <c r="O148" i="31"/>
  <c r="P148" i="31" s="1"/>
  <c r="F149" i="31"/>
  <c r="L149" i="31" s="1"/>
  <c r="C149" i="31"/>
  <c r="I149" i="31" s="1"/>
  <c r="N20" i="31"/>
  <c r="H149" i="31" s="1"/>
  <c r="N149" i="31" s="1"/>
  <c r="G149" i="31"/>
  <c r="M149" i="31" s="1"/>
  <c r="B152" i="31"/>
  <c r="E149" i="31"/>
  <c r="K149" i="31" s="1"/>
  <c r="M21" i="31" l="1"/>
  <c r="G150" i="31" s="1"/>
  <c r="M150" i="31" s="1"/>
  <c r="N21" i="31"/>
  <c r="H150" i="31" s="1"/>
  <c r="N150" i="31" s="1"/>
  <c r="C150" i="31"/>
  <c r="I150" i="31" s="1"/>
  <c r="O149" i="31"/>
  <c r="R88" i="31"/>
  <c r="J88" i="31"/>
  <c r="Q88" i="31"/>
  <c r="I88" i="31"/>
  <c r="P88" i="31"/>
  <c r="H88" i="31"/>
  <c r="O88" i="31"/>
  <c r="G88" i="31"/>
  <c r="N88" i="31"/>
  <c r="F88" i="31"/>
  <c r="B89" i="31"/>
  <c r="M88" i="31"/>
  <c r="E88" i="31"/>
  <c r="D88" i="31"/>
  <c r="C88" i="31"/>
  <c r="T88" i="31"/>
  <c r="S88" i="31"/>
  <c r="L88" i="31"/>
  <c r="K88" i="31"/>
  <c r="K21" i="31"/>
  <c r="E150" i="31" s="1"/>
  <c r="K150" i="31" s="1"/>
  <c r="D150" i="31"/>
  <c r="J150" i="31" s="1"/>
  <c r="B153" i="31"/>
  <c r="C22" i="31"/>
  <c r="H22" i="31"/>
  <c r="N22" i="31" s="1"/>
  <c r="B23" i="31"/>
  <c r="G22" i="31"/>
  <c r="F22" i="31"/>
  <c r="E22" i="31"/>
  <c r="K22" i="31" s="1"/>
  <c r="D22" i="31"/>
  <c r="J22" i="31" s="1"/>
  <c r="L21" i="31"/>
  <c r="F150" i="31" s="1"/>
  <c r="L150" i="31" s="1"/>
  <c r="P149" i="31" l="1"/>
  <c r="D151" i="31"/>
  <c r="J151" i="31" s="1"/>
  <c r="O150" i="31"/>
  <c r="P150" i="31" s="1"/>
  <c r="H151" i="31"/>
  <c r="N151" i="31" s="1"/>
  <c r="O89" i="31"/>
  <c r="G89" i="31"/>
  <c r="N89" i="31"/>
  <c r="F89" i="31"/>
  <c r="B90" i="31"/>
  <c r="M89" i="31"/>
  <c r="E89" i="31"/>
  <c r="T89" i="31"/>
  <c r="L89" i="31"/>
  <c r="D89" i="31"/>
  <c r="S89" i="31"/>
  <c r="K89" i="31"/>
  <c r="C89" i="31"/>
  <c r="R89" i="31"/>
  <c r="J89" i="31"/>
  <c r="Q89" i="31"/>
  <c r="P89" i="31"/>
  <c r="I89" i="31"/>
  <c r="H89" i="31"/>
  <c r="D23" i="31"/>
  <c r="J23" i="31" s="1"/>
  <c r="C23" i="31"/>
  <c r="H23" i="31"/>
  <c r="N23" i="31" s="1"/>
  <c r="F23" i="31"/>
  <c r="B24" i="31"/>
  <c r="G23" i="31"/>
  <c r="M23" i="31" s="1"/>
  <c r="E23" i="31"/>
  <c r="K23" i="31" s="1"/>
  <c r="E151" i="31"/>
  <c r="K151" i="31" s="1"/>
  <c r="B154" i="31"/>
  <c r="L22" i="31"/>
  <c r="F151" i="31" s="1"/>
  <c r="L151" i="31" s="1"/>
  <c r="M22" i="31"/>
  <c r="G151" i="31" s="1"/>
  <c r="M151" i="31" s="1"/>
  <c r="I22" i="31"/>
  <c r="C151" i="31" s="1"/>
  <c r="I151" i="31" s="1"/>
  <c r="G152" i="31" l="1"/>
  <c r="M152" i="31" s="1"/>
  <c r="B25" i="31"/>
  <c r="G24" i="31"/>
  <c r="M24" i="31" s="1"/>
  <c r="F24" i="31"/>
  <c r="E24" i="31"/>
  <c r="D24" i="31"/>
  <c r="J24" i="31" s="1"/>
  <c r="C24" i="31"/>
  <c r="H24" i="31"/>
  <c r="N24" i="31" s="1"/>
  <c r="D152" i="31"/>
  <c r="J152" i="31" s="1"/>
  <c r="T90" i="31"/>
  <c r="L90" i="31"/>
  <c r="D90" i="31"/>
  <c r="S90" i="31"/>
  <c r="K90" i="31"/>
  <c r="C90" i="31"/>
  <c r="R90" i="31"/>
  <c r="J90" i="31"/>
  <c r="Q90" i="31"/>
  <c r="I90" i="31"/>
  <c r="P90" i="31"/>
  <c r="H90" i="31"/>
  <c r="O90" i="31"/>
  <c r="G90" i="31"/>
  <c r="B91" i="31"/>
  <c r="N90" i="31"/>
  <c r="M90" i="31"/>
  <c r="F90" i="31"/>
  <c r="E90" i="31"/>
  <c r="E152" i="31"/>
  <c r="K152" i="31" s="1"/>
  <c r="B155" i="31"/>
  <c r="L23" i="31"/>
  <c r="F152" i="31" s="1"/>
  <c r="L152" i="31" s="1"/>
  <c r="H152" i="31"/>
  <c r="N152" i="31" s="1"/>
  <c r="O151" i="31"/>
  <c r="P151" i="31" s="1"/>
  <c r="I23" i="31"/>
  <c r="C152" i="31" s="1"/>
  <c r="I152" i="31" s="1"/>
  <c r="O152" i="31" l="1"/>
  <c r="P152" i="31" s="1"/>
  <c r="H153" i="31"/>
  <c r="N153" i="31" s="1"/>
  <c r="B156" i="31"/>
  <c r="I24" i="31"/>
  <c r="C153" i="31" s="1"/>
  <c r="I153" i="31" s="1"/>
  <c r="K24" i="31"/>
  <c r="E153" i="31" s="1"/>
  <c r="K153" i="31" s="1"/>
  <c r="G153" i="31"/>
  <c r="M153" i="31" s="1"/>
  <c r="D153" i="31"/>
  <c r="J153" i="31" s="1"/>
  <c r="D25" i="31"/>
  <c r="H25" i="31"/>
  <c r="B26" i="31"/>
  <c r="G25" i="31"/>
  <c r="F25" i="31"/>
  <c r="L25" i="31" s="1"/>
  <c r="E25" i="31"/>
  <c r="K25" i="31" s="1"/>
  <c r="C25" i="31"/>
  <c r="Q91" i="31"/>
  <c r="I91" i="31"/>
  <c r="P91" i="31"/>
  <c r="H91" i="31"/>
  <c r="O91" i="31"/>
  <c r="G91" i="31"/>
  <c r="N91" i="31"/>
  <c r="F91" i="31"/>
  <c r="B92" i="31"/>
  <c r="M91" i="31"/>
  <c r="E91" i="31"/>
  <c r="T91" i="31"/>
  <c r="L91" i="31"/>
  <c r="D91" i="31"/>
  <c r="K91" i="31"/>
  <c r="J91" i="31"/>
  <c r="C91" i="31"/>
  <c r="S91" i="31"/>
  <c r="R91" i="31"/>
  <c r="L24" i="31"/>
  <c r="F153" i="31" s="1"/>
  <c r="L153" i="31" s="1"/>
  <c r="O153" i="31" l="1"/>
  <c r="N92" i="31"/>
  <c r="F92" i="31"/>
  <c r="B93" i="31"/>
  <c r="M92" i="31"/>
  <c r="E92" i="31"/>
  <c r="T92" i="31"/>
  <c r="L92" i="31"/>
  <c r="D92" i="31"/>
  <c r="S92" i="31"/>
  <c r="K92" i="31"/>
  <c r="C92" i="31"/>
  <c r="R92" i="31"/>
  <c r="J92" i="31"/>
  <c r="Q92" i="31"/>
  <c r="I92" i="31"/>
  <c r="P92" i="31"/>
  <c r="O92" i="31"/>
  <c r="H92" i="31"/>
  <c r="G92" i="31"/>
  <c r="B157" i="31"/>
  <c r="E154" i="31"/>
  <c r="K154" i="31" s="1"/>
  <c r="M25" i="31"/>
  <c r="G154" i="31" s="1"/>
  <c r="M154" i="31" s="1"/>
  <c r="I25" i="31"/>
  <c r="C154" i="31" s="1"/>
  <c r="I154" i="31" s="1"/>
  <c r="F154" i="31"/>
  <c r="L154" i="31" s="1"/>
  <c r="J25" i="31"/>
  <c r="D154" i="31" s="1"/>
  <c r="J154" i="31" s="1"/>
  <c r="E26" i="31"/>
  <c r="D26" i="31"/>
  <c r="B27" i="31"/>
  <c r="C26" i="31"/>
  <c r="I26" i="31" s="1"/>
  <c r="G26" i="31"/>
  <c r="M26" i="31" s="1"/>
  <c r="H26" i="31"/>
  <c r="F26" i="31"/>
  <c r="N25" i="31"/>
  <c r="H154" i="31" s="1"/>
  <c r="N154" i="31" s="1"/>
  <c r="O154" i="31" l="1"/>
  <c r="P154" i="31" s="1"/>
  <c r="L26" i="31"/>
  <c r="F155" i="31" s="1"/>
  <c r="L155" i="31" s="1"/>
  <c r="S93" i="31"/>
  <c r="K93" i="31"/>
  <c r="C93" i="31"/>
  <c r="R93" i="31"/>
  <c r="J93" i="31"/>
  <c r="Q93" i="31"/>
  <c r="I93" i="31"/>
  <c r="P93" i="31"/>
  <c r="H93" i="31"/>
  <c r="O93" i="31"/>
  <c r="G93" i="31"/>
  <c r="N93" i="31"/>
  <c r="F93" i="31"/>
  <c r="E93" i="31"/>
  <c r="D93" i="31"/>
  <c r="B94" i="31"/>
  <c r="T93" i="31"/>
  <c r="M93" i="31"/>
  <c r="L93" i="31"/>
  <c r="J26" i="31"/>
  <c r="D155" i="31" s="1"/>
  <c r="J155" i="31" s="1"/>
  <c r="B158" i="31"/>
  <c r="G155" i="31"/>
  <c r="M155" i="31" s="1"/>
  <c r="C155" i="31"/>
  <c r="I155" i="31" s="1"/>
  <c r="K26" i="31"/>
  <c r="E155" i="31" s="1"/>
  <c r="K155" i="31" s="1"/>
  <c r="N26" i="31"/>
  <c r="H155" i="31" s="1"/>
  <c r="N155" i="31" s="1"/>
  <c r="H27" i="31"/>
  <c r="B28" i="31"/>
  <c r="G27" i="31"/>
  <c r="F27" i="31"/>
  <c r="L27" i="31" s="1"/>
  <c r="E27" i="31"/>
  <c r="K27" i="31" s="1"/>
  <c r="D27" i="31"/>
  <c r="J27" i="31" s="1"/>
  <c r="C27" i="31"/>
  <c r="I27" i="31" s="1"/>
  <c r="P153" i="31"/>
  <c r="C28" i="31" l="1"/>
  <c r="I28" i="31" s="1"/>
  <c r="E28" i="31"/>
  <c r="H28" i="31"/>
  <c r="B29" i="31"/>
  <c r="G28" i="31"/>
  <c r="M28" i="31" s="1"/>
  <c r="F28" i="31"/>
  <c r="L28" i="31" s="1"/>
  <c r="D28" i="31"/>
  <c r="D156" i="31"/>
  <c r="J156" i="31" s="1"/>
  <c r="E156" i="31"/>
  <c r="K156" i="31" s="1"/>
  <c r="P94" i="31"/>
  <c r="H94" i="31"/>
  <c r="O94" i="31"/>
  <c r="G94" i="31"/>
  <c r="N94" i="31"/>
  <c r="F94" i="31"/>
  <c r="B95" i="31"/>
  <c r="M94" i="31"/>
  <c r="E94" i="31"/>
  <c r="T94" i="31"/>
  <c r="L94" i="31"/>
  <c r="D94" i="31"/>
  <c r="S94" i="31"/>
  <c r="K94" i="31"/>
  <c r="C94" i="31"/>
  <c r="R94" i="31"/>
  <c r="Q94" i="31"/>
  <c r="J94" i="31"/>
  <c r="I94" i="31"/>
  <c r="O155" i="31"/>
  <c r="M27" i="31"/>
  <c r="G156" i="31" s="1"/>
  <c r="M156" i="31" s="1"/>
  <c r="B159" i="31"/>
  <c r="F156" i="31"/>
  <c r="L156" i="31" s="1"/>
  <c r="C156" i="31"/>
  <c r="I156" i="31" s="1"/>
  <c r="N27" i="31"/>
  <c r="H156" i="31" s="1"/>
  <c r="N156" i="31" s="1"/>
  <c r="J28" i="31" l="1"/>
  <c r="D157" i="31" s="1"/>
  <c r="J157" i="31" s="1"/>
  <c r="F29" i="31"/>
  <c r="L29" i="31" s="1"/>
  <c r="E29" i="31"/>
  <c r="D29" i="31"/>
  <c r="J29" i="31" s="1"/>
  <c r="C29" i="31"/>
  <c r="I29" i="31" s="1"/>
  <c r="H29" i="31"/>
  <c r="N29" i="31" s="1"/>
  <c r="B30" i="31"/>
  <c r="G29" i="31"/>
  <c r="F157" i="31"/>
  <c r="L157" i="31" s="1"/>
  <c r="N28" i="31"/>
  <c r="H157" i="31" s="1"/>
  <c r="N157" i="31" s="1"/>
  <c r="C157" i="31"/>
  <c r="I157" i="31" s="1"/>
  <c r="O156" i="31"/>
  <c r="B96" i="31"/>
  <c r="M95" i="31"/>
  <c r="E95" i="31"/>
  <c r="T95" i="31"/>
  <c r="L95" i="31"/>
  <c r="D95" i="31"/>
  <c r="S95" i="31"/>
  <c r="K95" i="31"/>
  <c r="C95" i="31"/>
  <c r="R95" i="31"/>
  <c r="J95" i="31"/>
  <c r="Q95" i="31"/>
  <c r="I95" i="31"/>
  <c r="P95" i="31"/>
  <c r="H95" i="31"/>
  <c r="O95" i="31"/>
  <c r="N95" i="31"/>
  <c r="G95" i="31"/>
  <c r="F95" i="31"/>
  <c r="P155" i="31"/>
  <c r="B160" i="31"/>
  <c r="G157" i="31"/>
  <c r="M157" i="31" s="1"/>
  <c r="K28" i="31"/>
  <c r="E157" i="31" s="1"/>
  <c r="K157" i="31" s="1"/>
  <c r="H30" i="31" l="1"/>
  <c r="N30" i="31" s="1"/>
  <c r="B31" i="31"/>
  <c r="G30" i="31"/>
  <c r="M30" i="31" s="1"/>
  <c r="F30" i="31"/>
  <c r="C30" i="31"/>
  <c r="I30" i="31" s="1"/>
  <c r="E30" i="31"/>
  <c r="K30" i="31" s="1"/>
  <c r="D30" i="31"/>
  <c r="J30" i="31" s="1"/>
  <c r="M29" i="31"/>
  <c r="G158" i="31" s="1"/>
  <c r="M158" i="31" s="1"/>
  <c r="F158" i="31"/>
  <c r="L158" i="31" s="1"/>
  <c r="B161" i="31"/>
  <c r="O157" i="31"/>
  <c r="C158" i="31"/>
  <c r="I158" i="31" s="1"/>
  <c r="P156" i="31"/>
  <c r="K29" i="31"/>
  <c r="E158" i="31" s="1"/>
  <c r="K158" i="31" s="1"/>
  <c r="R96" i="31"/>
  <c r="J96" i="31"/>
  <c r="Q96" i="31"/>
  <c r="I96" i="31"/>
  <c r="P96" i="31"/>
  <c r="H96" i="31"/>
  <c r="O96" i="31"/>
  <c r="G96" i="31"/>
  <c r="N96" i="31"/>
  <c r="F96" i="31"/>
  <c r="B97" i="31"/>
  <c r="M96" i="31"/>
  <c r="E96" i="31"/>
  <c r="L96" i="31"/>
  <c r="K96" i="31"/>
  <c r="D96" i="31"/>
  <c r="C96" i="31"/>
  <c r="T96" i="31"/>
  <c r="S96" i="31"/>
  <c r="H158" i="31"/>
  <c r="N158" i="31" s="1"/>
  <c r="D158" i="31"/>
  <c r="J158" i="31" s="1"/>
  <c r="D159" i="31" l="1"/>
  <c r="J159" i="31" s="1"/>
  <c r="D31" i="31"/>
  <c r="J31" i="31" s="1"/>
  <c r="C31" i="31"/>
  <c r="I31" i="31" s="1"/>
  <c r="F31" i="31"/>
  <c r="L31" i="31" s="1"/>
  <c r="H31" i="31"/>
  <c r="N31" i="31" s="1"/>
  <c r="B32" i="31"/>
  <c r="G31" i="31"/>
  <c r="M31" i="31" s="1"/>
  <c r="E31" i="31"/>
  <c r="L30" i="31"/>
  <c r="F159" i="31" s="1"/>
  <c r="L159" i="31" s="1"/>
  <c r="O158" i="31"/>
  <c r="P158" i="31" s="1"/>
  <c r="H159" i="31"/>
  <c r="N159" i="31" s="1"/>
  <c r="O97" i="31"/>
  <c r="G97" i="31"/>
  <c r="N97" i="31"/>
  <c r="F97" i="31"/>
  <c r="B98" i="31"/>
  <c r="M97" i="31"/>
  <c r="E97" i="31"/>
  <c r="T97" i="31"/>
  <c r="L97" i="31"/>
  <c r="D97" i="31"/>
  <c r="S97" i="31"/>
  <c r="K97" i="31"/>
  <c r="C97" i="31"/>
  <c r="R97" i="31"/>
  <c r="J97" i="31"/>
  <c r="Q97" i="31"/>
  <c r="P97" i="31"/>
  <c r="I97" i="31"/>
  <c r="H97" i="31"/>
  <c r="E159" i="31"/>
  <c r="K159" i="31" s="1"/>
  <c r="P157" i="31"/>
  <c r="B162" i="31"/>
  <c r="G159" i="31"/>
  <c r="M159" i="31" s="1"/>
  <c r="C159" i="31"/>
  <c r="I159" i="31" s="1"/>
  <c r="C160" i="31" l="1"/>
  <c r="I160" i="31" s="1"/>
  <c r="T98" i="31"/>
  <c r="L98" i="31"/>
  <c r="D98" i="31"/>
  <c r="S98" i="31"/>
  <c r="K98" i="31"/>
  <c r="C98" i="31"/>
  <c r="R98" i="31"/>
  <c r="J98" i="31"/>
  <c r="Q98" i="31"/>
  <c r="I98" i="31"/>
  <c r="P98" i="31"/>
  <c r="H98" i="31"/>
  <c r="O98" i="31"/>
  <c r="G98" i="31"/>
  <c r="F98" i="31"/>
  <c r="E98" i="31"/>
  <c r="B99" i="31"/>
  <c r="N98" i="31"/>
  <c r="M98" i="31"/>
  <c r="K31" i="31"/>
  <c r="E160" i="31" s="1"/>
  <c r="K160" i="31" s="1"/>
  <c r="G160" i="31"/>
  <c r="M160" i="31" s="1"/>
  <c r="D160" i="31"/>
  <c r="J160" i="31" s="1"/>
  <c r="B33" i="31"/>
  <c r="G32" i="31"/>
  <c r="M32" i="31" s="1"/>
  <c r="F32" i="31"/>
  <c r="E32" i="31"/>
  <c r="D32" i="31"/>
  <c r="J32" i="31" s="1"/>
  <c r="C32" i="31"/>
  <c r="H32" i="31"/>
  <c r="N32" i="31" s="1"/>
  <c r="O159" i="31"/>
  <c r="H160" i="31"/>
  <c r="N160" i="31" s="1"/>
  <c r="B163" i="31"/>
  <c r="F160" i="31"/>
  <c r="L160" i="31" s="1"/>
  <c r="P159" i="31" l="1"/>
  <c r="Q99" i="31"/>
  <c r="I99" i="31"/>
  <c r="P99" i="31"/>
  <c r="H99" i="31"/>
  <c r="O99" i="31"/>
  <c r="G99" i="31"/>
  <c r="N99" i="31"/>
  <c r="F99" i="31"/>
  <c r="B100" i="31"/>
  <c r="M99" i="31"/>
  <c r="E99" i="31"/>
  <c r="T99" i="31"/>
  <c r="L99" i="31"/>
  <c r="D99" i="31"/>
  <c r="S99" i="31"/>
  <c r="R99" i="31"/>
  <c r="K99" i="31"/>
  <c r="J99" i="31"/>
  <c r="C99" i="31"/>
  <c r="I32" i="31"/>
  <c r="C161" i="31" s="1"/>
  <c r="I161" i="31" s="1"/>
  <c r="K32" i="31"/>
  <c r="E161" i="31" s="1"/>
  <c r="K161" i="31" s="1"/>
  <c r="G161" i="31"/>
  <c r="M161" i="31" s="1"/>
  <c r="O160" i="31"/>
  <c r="B164" i="31"/>
  <c r="D161" i="31"/>
  <c r="J161" i="31" s="1"/>
  <c r="D33" i="31"/>
  <c r="J33" i="31" s="1"/>
  <c r="H33" i="31"/>
  <c r="B34" i="31"/>
  <c r="G33" i="31"/>
  <c r="M33" i="31" s="1"/>
  <c r="F33" i="31"/>
  <c r="L33" i="31" s="1"/>
  <c r="E33" i="31"/>
  <c r="C33" i="31"/>
  <c r="H161" i="31"/>
  <c r="N161" i="31" s="1"/>
  <c r="L32" i="31"/>
  <c r="F161" i="31" s="1"/>
  <c r="L161" i="31" s="1"/>
  <c r="O161" i="31" l="1"/>
  <c r="P161" i="31" s="1"/>
  <c r="D162" i="31"/>
  <c r="J162" i="31" s="1"/>
  <c r="B165" i="31"/>
  <c r="N100" i="31"/>
  <c r="F100" i="31"/>
  <c r="B101" i="31"/>
  <c r="M100" i="31"/>
  <c r="E100" i="31"/>
  <c r="T100" i="31"/>
  <c r="L100" i="31"/>
  <c r="D100" i="31"/>
  <c r="S100" i="31"/>
  <c r="K100" i="31"/>
  <c r="C100" i="31"/>
  <c r="R100" i="31"/>
  <c r="J100" i="31"/>
  <c r="Q100" i="31"/>
  <c r="I100" i="31"/>
  <c r="P100" i="31"/>
  <c r="O100" i="31"/>
  <c r="H100" i="31"/>
  <c r="G100" i="31"/>
  <c r="N33" i="31"/>
  <c r="H162" i="31" s="1"/>
  <c r="N162" i="31" s="1"/>
  <c r="P160" i="31"/>
  <c r="I33" i="31"/>
  <c r="C162" i="31" s="1"/>
  <c r="I162" i="31" s="1"/>
  <c r="F162" i="31"/>
  <c r="L162" i="31" s="1"/>
  <c r="G162" i="31"/>
  <c r="M162" i="31" s="1"/>
  <c r="K33" i="31"/>
  <c r="E162" i="31" s="1"/>
  <c r="K162" i="31" s="1"/>
  <c r="E34" i="31"/>
  <c r="K34" i="31" s="1"/>
  <c r="D34" i="31"/>
  <c r="J34" i="31" s="1"/>
  <c r="C34" i="31"/>
  <c r="I34" i="31" s="1"/>
  <c r="G34" i="31"/>
  <c r="M34" i="31" s="1"/>
  <c r="H34" i="31"/>
  <c r="B35" i="31"/>
  <c r="F34" i="31"/>
  <c r="L34" i="31" s="1"/>
  <c r="O162" i="31" l="1"/>
  <c r="S101" i="31"/>
  <c r="K101" i="31"/>
  <c r="C101" i="31"/>
  <c r="R101" i="31"/>
  <c r="J101" i="31"/>
  <c r="Q101" i="31"/>
  <c r="I101" i="31"/>
  <c r="P101" i="31"/>
  <c r="H101" i="31"/>
  <c r="O101" i="31"/>
  <c r="G101" i="31"/>
  <c r="N101" i="31"/>
  <c r="F101" i="31"/>
  <c r="M101" i="31"/>
  <c r="L101" i="31"/>
  <c r="E101" i="31"/>
  <c r="D101" i="31"/>
  <c r="B102" i="31"/>
  <c r="T101" i="31"/>
  <c r="F163" i="31"/>
  <c r="L163" i="31" s="1"/>
  <c r="B36" i="31"/>
  <c r="G35" i="31"/>
  <c r="M35" i="31" s="1"/>
  <c r="E35" i="31"/>
  <c r="K35" i="31" s="1"/>
  <c r="C35" i="31"/>
  <c r="I35" i="31" s="1"/>
  <c r="H35" i="31"/>
  <c r="N35" i="31" s="1"/>
  <c r="F35" i="31"/>
  <c r="D35" i="31"/>
  <c r="J35" i="31" s="1"/>
  <c r="D163" i="31"/>
  <c r="J163" i="31" s="1"/>
  <c r="E163" i="31"/>
  <c r="K163" i="31" s="1"/>
  <c r="C163" i="31"/>
  <c r="I163" i="31" s="1"/>
  <c r="B166" i="31"/>
  <c r="G163" i="31"/>
  <c r="M163" i="31" s="1"/>
  <c r="N34" i="31"/>
  <c r="H163" i="31" s="1"/>
  <c r="N163" i="31" s="1"/>
  <c r="H164" i="31" l="1"/>
  <c r="N164" i="31" s="1"/>
  <c r="G164" i="31"/>
  <c r="M164" i="31" s="1"/>
  <c r="O163" i="31"/>
  <c r="P163" i="31" s="1"/>
  <c r="B167" i="31"/>
  <c r="P102" i="31"/>
  <c r="H102" i="31"/>
  <c r="O102" i="31"/>
  <c r="G102" i="31"/>
  <c r="N102" i="31"/>
  <c r="F102" i="31"/>
  <c r="B103" i="31"/>
  <c r="M102" i="31"/>
  <c r="E102" i="31"/>
  <c r="T102" i="31"/>
  <c r="L102" i="31"/>
  <c r="D102" i="31"/>
  <c r="S102" i="31"/>
  <c r="K102" i="31"/>
  <c r="C102" i="31"/>
  <c r="R102" i="31"/>
  <c r="Q102" i="31"/>
  <c r="J102" i="31"/>
  <c r="I102" i="31"/>
  <c r="C164" i="31"/>
  <c r="I164" i="31" s="1"/>
  <c r="L35" i="31"/>
  <c r="F164" i="31" s="1"/>
  <c r="L164" i="31" s="1"/>
  <c r="H36" i="31"/>
  <c r="N36" i="31" s="1"/>
  <c r="G36" i="31"/>
  <c r="F36" i="31"/>
  <c r="L36" i="31" s="1"/>
  <c r="B37" i="31"/>
  <c r="E36" i="31"/>
  <c r="D36" i="31"/>
  <c r="J36" i="31" s="1"/>
  <c r="C36" i="31"/>
  <c r="D164" i="31"/>
  <c r="J164" i="31" s="1"/>
  <c r="E164" i="31"/>
  <c r="K164" i="31" s="1"/>
  <c r="P162" i="31"/>
  <c r="R103" i="31" l="1"/>
  <c r="J103" i="31"/>
  <c r="Q103" i="31"/>
  <c r="O103" i="31"/>
  <c r="B104" i="31"/>
  <c r="M103" i="31"/>
  <c r="P103" i="31"/>
  <c r="E103" i="31"/>
  <c r="N103" i="31"/>
  <c r="D103" i="31"/>
  <c r="L103" i="31"/>
  <c r="C103" i="31"/>
  <c r="K103" i="31"/>
  <c r="I103" i="31"/>
  <c r="H103" i="31"/>
  <c r="G103" i="31"/>
  <c r="F103" i="31"/>
  <c r="T103" i="31"/>
  <c r="S103" i="31"/>
  <c r="F165" i="31"/>
  <c r="L165" i="31" s="1"/>
  <c r="O164" i="31"/>
  <c r="B168" i="31"/>
  <c r="M36" i="31"/>
  <c r="G165" i="31" s="1"/>
  <c r="M165" i="31" s="1"/>
  <c r="I36" i="31"/>
  <c r="C165" i="31" s="1"/>
  <c r="I165" i="31" s="1"/>
  <c r="E37" i="31"/>
  <c r="K37" i="31" s="1"/>
  <c r="C37" i="31"/>
  <c r="I37" i="31" s="1"/>
  <c r="G37" i="31"/>
  <c r="F37" i="31"/>
  <c r="B38" i="31"/>
  <c r="D37" i="31"/>
  <c r="J37" i="31" s="1"/>
  <c r="H37" i="31"/>
  <c r="K36" i="31"/>
  <c r="E165" i="31" s="1"/>
  <c r="K165" i="31" s="1"/>
  <c r="D165" i="31"/>
  <c r="J165" i="31" s="1"/>
  <c r="H165" i="31"/>
  <c r="N165" i="31" s="1"/>
  <c r="O165" i="31" l="1"/>
  <c r="P165" i="31" s="1"/>
  <c r="P164" i="31"/>
  <c r="L37" i="31"/>
  <c r="F166" i="31" s="1"/>
  <c r="L166" i="31" s="1"/>
  <c r="E166" i="31"/>
  <c r="K166" i="31" s="1"/>
  <c r="N37" i="31"/>
  <c r="H166" i="31" s="1"/>
  <c r="N166" i="31" s="1"/>
  <c r="M37" i="31"/>
  <c r="G166" i="31" s="1"/>
  <c r="M166" i="31" s="1"/>
  <c r="C166" i="31"/>
  <c r="I166" i="31" s="1"/>
  <c r="D166" i="31"/>
  <c r="J166" i="31" s="1"/>
  <c r="B169" i="31"/>
  <c r="O104" i="31"/>
  <c r="G104" i="31"/>
  <c r="N104" i="31"/>
  <c r="F104" i="31"/>
  <c r="T104" i="31"/>
  <c r="L104" i="31"/>
  <c r="D104" i="31"/>
  <c r="S104" i="31"/>
  <c r="K104" i="31"/>
  <c r="C104" i="31"/>
  <c r="R104" i="31"/>
  <c r="J104" i="31"/>
  <c r="Q104" i="31"/>
  <c r="P104" i="31"/>
  <c r="M104" i="31"/>
  <c r="I104" i="31"/>
  <c r="H104" i="31"/>
  <c r="E104" i="31"/>
  <c r="B105" i="31"/>
  <c r="H38" i="31"/>
  <c r="F38" i="31"/>
  <c r="L38" i="31" s="1"/>
  <c r="B39" i="31"/>
  <c r="D38" i="31"/>
  <c r="G38" i="31"/>
  <c r="M38" i="31" s="1"/>
  <c r="C38" i="31"/>
  <c r="E38" i="31"/>
  <c r="B170" i="31" l="1"/>
  <c r="T105" i="31"/>
  <c r="L105" i="31"/>
  <c r="D105" i="31"/>
  <c r="S105" i="31"/>
  <c r="K105" i="31"/>
  <c r="C105" i="31"/>
  <c r="Q105" i="31"/>
  <c r="I105" i="31"/>
  <c r="P105" i="31"/>
  <c r="H105" i="31"/>
  <c r="O105" i="31"/>
  <c r="G105" i="31"/>
  <c r="B106" i="31"/>
  <c r="R105" i="31"/>
  <c r="N105" i="31"/>
  <c r="M105" i="31"/>
  <c r="J105" i="31"/>
  <c r="F105" i="31"/>
  <c r="E105" i="31"/>
  <c r="C39" i="31"/>
  <c r="I39" i="31" s="1"/>
  <c r="E39" i="31"/>
  <c r="K39" i="31" s="1"/>
  <c r="H39" i="31"/>
  <c r="G39" i="31"/>
  <c r="B40" i="31"/>
  <c r="F39" i="31"/>
  <c r="D39" i="31"/>
  <c r="J39" i="31" s="1"/>
  <c r="O166" i="31"/>
  <c r="G167" i="31"/>
  <c r="M167" i="31" s="1"/>
  <c r="F167" i="31"/>
  <c r="L167" i="31" s="1"/>
  <c r="I38" i="31"/>
  <c r="C167" i="31" s="1"/>
  <c r="I167" i="31" s="1"/>
  <c r="J38" i="31"/>
  <c r="D167" i="31" s="1"/>
  <c r="J167" i="31" s="1"/>
  <c r="K38" i="31"/>
  <c r="E167" i="31" s="1"/>
  <c r="K167" i="31" s="1"/>
  <c r="N38" i="31"/>
  <c r="H167" i="31" s="1"/>
  <c r="N167" i="31" s="1"/>
  <c r="O167" i="31" l="1"/>
  <c r="P167" i="31" s="1"/>
  <c r="C168" i="31"/>
  <c r="I168" i="31" s="1"/>
  <c r="P166" i="31"/>
  <c r="Q106" i="31"/>
  <c r="I106" i="31"/>
  <c r="P106" i="31"/>
  <c r="H106" i="31"/>
  <c r="N106" i="31"/>
  <c r="F106" i="31"/>
  <c r="B107" i="31"/>
  <c r="M106" i="31"/>
  <c r="E106" i="31"/>
  <c r="T106" i="31"/>
  <c r="L106" i="31"/>
  <c r="D106" i="31"/>
  <c r="S106" i="31"/>
  <c r="R106" i="31"/>
  <c r="O106" i="31"/>
  <c r="K106" i="31"/>
  <c r="J106" i="31"/>
  <c r="G106" i="31"/>
  <c r="C106" i="31"/>
  <c r="E168" i="31"/>
  <c r="K168" i="31" s="1"/>
  <c r="D168" i="31"/>
  <c r="J168" i="31" s="1"/>
  <c r="L39" i="31"/>
  <c r="F168" i="31" s="1"/>
  <c r="L168" i="31" s="1"/>
  <c r="B171" i="31"/>
  <c r="F40" i="31"/>
  <c r="L40" i="31" s="1"/>
  <c r="D40" i="31"/>
  <c r="J40" i="31" s="1"/>
  <c r="H40" i="31"/>
  <c r="N40" i="31" s="1"/>
  <c r="G40" i="31"/>
  <c r="E40" i="31"/>
  <c r="B41" i="31"/>
  <c r="C40" i="31"/>
  <c r="N39" i="31"/>
  <c r="H168" i="31" s="1"/>
  <c r="N168" i="31" s="1"/>
  <c r="M39" i="31"/>
  <c r="G168" i="31" s="1"/>
  <c r="M168" i="31" s="1"/>
  <c r="N107" i="31" l="1"/>
  <c r="F107" i="31"/>
  <c r="B108" i="31"/>
  <c r="M107" i="31"/>
  <c r="E107" i="31"/>
  <c r="S107" i="31"/>
  <c r="K107" i="31"/>
  <c r="C107" i="31"/>
  <c r="R107" i="31"/>
  <c r="J107" i="31"/>
  <c r="Q107" i="31"/>
  <c r="I107" i="31"/>
  <c r="D107" i="31"/>
  <c r="T107" i="31"/>
  <c r="P107" i="31"/>
  <c r="O107" i="31"/>
  <c r="L107" i="31"/>
  <c r="H107" i="31"/>
  <c r="G107" i="31"/>
  <c r="H169" i="31"/>
  <c r="N169" i="31" s="1"/>
  <c r="F169" i="31"/>
  <c r="L169" i="31" s="1"/>
  <c r="O168" i="31"/>
  <c r="K40" i="31"/>
  <c r="E169" i="31" s="1"/>
  <c r="K169" i="31" s="1"/>
  <c r="B42" i="31"/>
  <c r="G41" i="31"/>
  <c r="H41" i="31"/>
  <c r="F41" i="31"/>
  <c r="E41" i="31"/>
  <c r="D41" i="31"/>
  <c r="J41" i="31" s="1"/>
  <c r="C41" i="31"/>
  <c r="I41" i="31" s="1"/>
  <c r="I40" i="31"/>
  <c r="C169" i="31" s="1"/>
  <c r="I169" i="31" s="1"/>
  <c r="M40" i="31"/>
  <c r="G169" i="31" s="1"/>
  <c r="M169" i="31" s="1"/>
  <c r="D169" i="31"/>
  <c r="J169" i="31" s="1"/>
  <c r="B172" i="31"/>
  <c r="O169" i="31" l="1"/>
  <c r="P169" i="31" s="1"/>
  <c r="P168" i="31"/>
  <c r="L41" i="31"/>
  <c r="F170" i="31" s="1"/>
  <c r="L170" i="31" s="1"/>
  <c r="M41" i="31"/>
  <c r="G170" i="31" s="1"/>
  <c r="M170" i="31" s="1"/>
  <c r="K41" i="31"/>
  <c r="E170" i="31" s="1"/>
  <c r="K170" i="31" s="1"/>
  <c r="S108" i="31"/>
  <c r="K108" i="31"/>
  <c r="C108" i="31"/>
  <c r="R108" i="31"/>
  <c r="J108" i="31"/>
  <c r="P108" i="31"/>
  <c r="H108" i="31"/>
  <c r="O108" i="31"/>
  <c r="G108" i="31"/>
  <c r="N108" i="31"/>
  <c r="F108" i="31"/>
  <c r="E108" i="31"/>
  <c r="D108" i="31"/>
  <c r="B109" i="31"/>
  <c r="T108" i="31"/>
  <c r="Q108" i="31"/>
  <c r="M108" i="31"/>
  <c r="L108" i="31"/>
  <c r="I108" i="31"/>
  <c r="B173" i="31"/>
  <c r="C170" i="31"/>
  <c r="I170" i="31" s="1"/>
  <c r="D42" i="31"/>
  <c r="J42" i="31" s="1"/>
  <c r="F42" i="31"/>
  <c r="L42" i="31" s="1"/>
  <c r="B43" i="31"/>
  <c r="E42" i="31"/>
  <c r="K42" i="31" s="1"/>
  <c r="H42" i="31"/>
  <c r="N42" i="31" s="1"/>
  <c r="C42" i="31"/>
  <c r="G42" i="31"/>
  <c r="M42" i="31" s="1"/>
  <c r="D170" i="31"/>
  <c r="J170" i="31" s="1"/>
  <c r="N41" i="31"/>
  <c r="H170" i="31" s="1"/>
  <c r="N170" i="31" s="1"/>
  <c r="D171" i="31" l="1"/>
  <c r="J171" i="31" s="1"/>
  <c r="P109" i="31"/>
  <c r="H109" i="31"/>
  <c r="O109" i="31"/>
  <c r="G109" i="31"/>
  <c r="B110" i="31"/>
  <c r="M109" i="31"/>
  <c r="E109" i="31"/>
  <c r="T109" i="31"/>
  <c r="L109" i="31"/>
  <c r="D109" i="31"/>
  <c r="S109" i="31"/>
  <c r="K109" i="31"/>
  <c r="C109" i="31"/>
  <c r="I109" i="31"/>
  <c r="F109" i="31"/>
  <c r="R109" i="31"/>
  <c r="Q109" i="31"/>
  <c r="N109" i="31"/>
  <c r="J109" i="31"/>
  <c r="O170" i="31"/>
  <c r="B174" i="31"/>
  <c r="H171" i="31"/>
  <c r="N171" i="31" s="1"/>
  <c r="E171" i="31"/>
  <c r="K171" i="31" s="1"/>
  <c r="G171" i="31"/>
  <c r="M171" i="31" s="1"/>
  <c r="B44" i="31"/>
  <c r="G43" i="31"/>
  <c r="M43" i="31" s="1"/>
  <c r="E43" i="31"/>
  <c r="C43" i="31"/>
  <c r="F43" i="31"/>
  <c r="L43" i="31" s="1"/>
  <c r="H43" i="31"/>
  <c r="N43" i="31" s="1"/>
  <c r="D43" i="31"/>
  <c r="I42" i="31"/>
  <c r="C171" i="31" s="1"/>
  <c r="I171" i="31" s="1"/>
  <c r="F171" i="31"/>
  <c r="L171" i="31" s="1"/>
  <c r="O171" i="31" l="1"/>
  <c r="P171" i="31" s="1"/>
  <c r="B175" i="31"/>
  <c r="P170" i="31"/>
  <c r="H172" i="31"/>
  <c r="N172" i="31" s="1"/>
  <c r="G172" i="31"/>
  <c r="M172" i="31" s="1"/>
  <c r="F172" i="31"/>
  <c r="L172" i="31" s="1"/>
  <c r="B111" i="31"/>
  <c r="M110" i="31"/>
  <c r="E110" i="31"/>
  <c r="T110" i="31"/>
  <c r="L110" i="31"/>
  <c r="D110" i="31"/>
  <c r="S110" i="31"/>
  <c r="K110" i="31"/>
  <c r="R110" i="31"/>
  <c r="J110" i="31"/>
  <c r="Q110" i="31"/>
  <c r="I110" i="31"/>
  <c r="P110" i="31"/>
  <c r="H110" i="31"/>
  <c r="N110" i="31"/>
  <c r="G110" i="31"/>
  <c r="F110" i="31"/>
  <c r="C110" i="31"/>
  <c r="O110" i="31"/>
  <c r="I43" i="31"/>
  <c r="C172" i="31" s="1"/>
  <c r="I172" i="31" s="1"/>
  <c r="J43" i="31"/>
  <c r="D172" i="31" s="1"/>
  <c r="J172" i="31" s="1"/>
  <c r="K43" i="31"/>
  <c r="E172" i="31" s="1"/>
  <c r="K172" i="31" s="1"/>
  <c r="H44" i="31"/>
  <c r="G44" i="31"/>
  <c r="D44" i="31"/>
  <c r="J44" i="31" s="1"/>
  <c r="F44" i="31"/>
  <c r="B45" i="31"/>
  <c r="E44" i="31"/>
  <c r="K44" i="31" s="1"/>
  <c r="C44" i="31"/>
  <c r="I44" i="31" s="1"/>
  <c r="O172" i="31" l="1"/>
  <c r="B176" i="31"/>
  <c r="E45" i="31"/>
  <c r="K45" i="31" s="1"/>
  <c r="C45" i="31"/>
  <c r="I45" i="31" s="1"/>
  <c r="H45" i="31"/>
  <c r="N45" i="31" s="1"/>
  <c r="G45" i="31"/>
  <c r="M45" i="31" s="1"/>
  <c r="F45" i="31"/>
  <c r="L45" i="31" s="1"/>
  <c r="B46" i="31"/>
  <c r="D45" i="31"/>
  <c r="J45" i="31" s="1"/>
  <c r="C173" i="31"/>
  <c r="I173" i="31" s="1"/>
  <c r="D173" i="31"/>
  <c r="J173" i="31" s="1"/>
  <c r="M44" i="31"/>
  <c r="G173" i="31" s="1"/>
  <c r="M173" i="31" s="1"/>
  <c r="N44" i="31"/>
  <c r="H173" i="31" s="1"/>
  <c r="N173" i="31" s="1"/>
  <c r="E173" i="31"/>
  <c r="K173" i="31" s="1"/>
  <c r="L44" i="31"/>
  <c r="F173" i="31" s="1"/>
  <c r="L173" i="31" s="1"/>
  <c r="R111" i="31"/>
  <c r="J111" i="31"/>
  <c r="Q111" i="31"/>
  <c r="I111" i="31"/>
  <c r="P111" i="31"/>
  <c r="H111" i="31"/>
  <c r="O111" i="31"/>
  <c r="G111" i="31"/>
  <c r="N111" i="31"/>
  <c r="F111" i="31"/>
  <c r="B112" i="31"/>
  <c r="M111" i="31"/>
  <c r="E111" i="31"/>
  <c r="T111" i="31"/>
  <c r="S111" i="31"/>
  <c r="L111" i="31"/>
  <c r="K111" i="31"/>
  <c r="D111" i="31"/>
  <c r="C111" i="31"/>
  <c r="O173" i="31" l="1"/>
  <c r="H174" i="31"/>
  <c r="N174" i="31" s="1"/>
  <c r="C174" i="31"/>
  <c r="I174" i="31" s="1"/>
  <c r="E174" i="31"/>
  <c r="K174" i="31" s="1"/>
  <c r="H46" i="31"/>
  <c r="N46" i="31" s="1"/>
  <c r="F46" i="31"/>
  <c r="L46" i="31" s="1"/>
  <c r="G46" i="31"/>
  <c r="M46" i="31" s="1"/>
  <c r="E46" i="31"/>
  <c r="B47" i="31"/>
  <c r="D46" i="31"/>
  <c r="J46" i="31" s="1"/>
  <c r="C46" i="31"/>
  <c r="I46" i="31" s="1"/>
  <c r="D174" i="31"/>
  <c r="J174" i="31" s="1"/>
  <c r="F174" i="31"/>
  <c r="L174" i="31" s="1"/>
  <c r="B177" i="31"/>
  <c r="O112" i="31"/>
  <c r="G112" i="31"/>
  <c r="N112" i="31"/>
  <c r="F112" i="31"/>
  <c r="B113" i="31"/>
  <c r="M112" i="31"/>
  <c r="E112" i="31"/>
  <c r="T112" i="31"/>
  <c r="L112" i="31"/>
  <c r="D112" i="31"/>
  <c r="S112" i="31"/>
  <c r="K112" i="31"/>
  <c r="C112" i="31"/>
  <c r="R112" i="31"/>
  <c r="J112" i="31"/>
  <c r="H112" i="31"/>
  <c r="Q112" i="31"/>
  <c r="P112" i="31"/>
  <c r="I112" i="31"/>
  <c r="G174" i="31"/>
  <c r="M174" i="31" s="1"/>
  <c r="P172" i="31"/>
  <c r="P173" i="31" l="1"/>
  <c r="K46" i="31"/>
  <c r="E175" i="31" s="1"/>
  <c r="K175" i="31" s="1"/>
  <c r="G175" i="31"/>
  <c r="M175" i="31" s="1"/>
  <c r="C47" i="31"/>
  <c r="I47" i="31" s="1"/>
  <c r="B48" i="31"/>
  <c r="E47" i="31"/>
  <c r="D47" i="31"/>
  <c r="J47" i="31" s="1"/>
  <c r="G47" i="31"/>
  <c r="M47" i="31" s="1"/>
  <c r="H47" i="31"/>
  <c r="F47" i="31"/>
  <c r="L47" i="31" s="1"/>
  <c r="T113" i="31"/>
  <c r="L113" i="31"/>
  <c r="D113" i="31"/>
  <c r="S113" i="31"/>
  <c r="K113" i="31"/>
  <c r="C113" i="31"/>
  <c r="R113" i="31"/>
  <c r="J113" i="31"/>
  <c r="Q113" i="31"/>
  <c r="I113" i="31"/>
  <c r="P113" i="31"/>
  <c r="H113" i="31"/>
  <c r="O113" i="31"/>
  <c r="G113" i="31"/>
  <c r="B114" i="31"/>
  <c r="N113" i="31"/>
  <c r="M113" i="31"/>
  <c r="F113" i="31"/>
  <c r="E113" i="31"/>
  <c r="F175" i="31"/>
  <c r="L175" i="31" s="1"/>
  <c r="C175" i="31"/>
  <c r="I175" i="31" s="1"/>
  <c r="H175" i="31"/>
  <c r="N175" i="31" s="1"/>
  <c r="B178" i="31"/>
  <c r="D175" i="31"/>
  <c r="J175" i="31" s="1"/>
  <c r="O174" i="31"/>
  <c r="P174" i="31" s="1"/>
  <c r="Q114" i="31" l="1"/>
  <c r="I114" i="31"/>
  <c r="P114" i="31"/>
  <c r="H114" i="31"/>
  <c r="O114" i="31"/>
  <c r="G114" i="31"/>
  <c r="N114" i="31"/>
  <c r="F114" i="31"/>
  <c r="B115" i="31"/>
  <c r="M114" i="31"/>
  <c r="E114" i="31"/>
  <c r="T114" i="31"/>
  <c r="L114" i="31"/>
  <c r="D114" i="31"/>
  <c r="S114" i="31"/>
  <c r="R114" i="31"/>
  <c r="K114" i="31"/>
  <c r="J114" i="31"/>
  <c r="C114" i="31"/>
  <c r="B179" i="31"/>
  <c r="O175" i="31"/>
  <c r="C176" i="31"/>
  <c r="I176" i="31" s="1"/>
  <c r="K47" i="31"/>
  <c r="E176" i="31" s="1"/>
  <c r="K176" i="31" s="1"/>
  <c r="G176" i="31"/>
  <c r="M176" i="31" s="1"/>
  <c r="D176" i="31"/>
  <c r="J176" i="31" s="1"/>
  <c r="F176" i="31"/>
  <c r="L176" i="31" s="1"/>
  <c r="F48" i="31"/>
  <c r="L48" i="31" s="1"/>
  <c r="D48" i="31"/>
  <c r="E48" i="31"/>
  <c r="H48" i="31"/>
  <c r="N48" i="31" s="1"/>
  <c r="G48" i="31"/>
  <c r="M48" i="31" s="1"/>
  <c r="B49" i="31"/>
  <c r="C48" i="31"/>
  <c r="N47" i="31"/>
  <c r="H176" i="31" s="1"/>
  <c r="N176" i="31" s="1"/>
  <c r="P175" i="31" l="1"/>
  <c r="G177" i="31"/>
  <c r="M177" i="31" s="1"/>
  <c r="B50" i="31"/>
  <c r="G49" i="31"/>
  <c r="M49" i="31" s="1"/>
  <c r="H49" i="31"/>
  <c r="N49" i="31" s="1"/>
  <c r="F49" i="31"/>
  <c r="L49" i="31" s="1"/>
  <c r="C49" i="31"/>
  <c r="I49" i="31" s="1"/>
  <c r="E49" i="31"/>
  <c r="K49" i="31" s="1"/>
  <c r="D49" i="31"/>
  <c r="J49" i="31" s="1"/>
  <c r="H177" i="31"/>
  <c r="N177" i="31" s="1"/>
  <c r="F177" i="31"/>
  <c r="L177" i="31" s="1"/>
  <c r="O176" i="31"/>
  <c r="P176" i="31" s="1"/>
  <c r="I48" i="31"/>
  <c r="C177" i="31" s="1"/>
  <c r="I177" i="31" s="1"/>
  <c r="N115" i="31"/>
  <c r="F115" i="31"/>
  <c r="B116" i="31"/>
  <c r="M115" i="31"/>
  <c r="E115" i="31"/>
  <c r="T115" i="31"/>
  <c r="L115" i="31"/>
  <c r="D115" i="31"/>
  <c r="S115" i="31"/>
  <c r="K115" i="31"/>
  <c r="C115" i="31"/>
  <c r="R115" i="31"/>
  <c r="J115" i="31"/>
  <c r="Q115" i="31"/>
  <c r="I115" i="31"/>
  <c r="O115" i="31"/>
  <c r="H115" i="31"/>
  <c r="G115" i="31"/>
  <c r="P115" i="31"/>
  <c r="J48" i="31"/>
  <c r="D177" i="31" s="1"/>
  <c r="J177" i="31" s="1"/>
  <c r="K48" i="31"/>
  <c r="E177" i="31" s="1"/>
  <c r="K177" i="31" s="1"/>
  <c r="B180" i="31"/>
  <c r="O177" i="31" l="1"/>
  <c r="P177" i="31" s="1"/>
  <c r="B181" i="31"/>
  <c r="D178" i="31"/>
  <c r="J178" i="31" s="1"/>
  <c r="G178" i="31"/>
  <c r="M178" i="31" s="1"/>
  <c r="E178" i="31"/>
  <c r="K178" i="31" s="1"/>
  <c r="D50" i="31"/>
  <c r="J50" i="31" s="1"/>
  <c r="H50" i="31"/>
  <c r="G50" i="31"/>
  <c r="M50" i="31" s="1"/>
  <c r="F50" i="31"/>
  <c r="L50" i="31" s="1"/>
  <c r="B51" i="31"/>
  <c r="E50" i="31"/>
  <c r="C50" i="31"/>
  <c r="I50" i="31" s="1"/>
  <c r="F178" i="31"/>
  <c r="L178" i="31" s="1"/>
  <c r="C178" i="31"/>
  <c r="I178" i="31" s="1"/>
  <c r="H178" i="31"/>
  <c r="N178" i="31" s="1"/>
  <c r="S116" i="31"/>
  <c r="K116" i="31"/>
  <c r="C116" i="31"/>
  <c r="R116" i="31"/>
  <c r="J116" i="31"/>
  <c r="Q116" i="31"/>
  <c r="I116" i="31"/>
  <c r="P116" i="31"/>
  <c r="H116" i="31"/>
  <c r="O116" i="31"/>
  <c r="G116" i="31"/>
  <c r="N116" i="31"/>
  <c r="F116" i="31"/>
  <c r="B117" i="31"/>
  <c r="T116" i="31"/>
  <c r="M116" i="31"/>
  <c r="L116" i="31"/>
  <c r="E116" i="31"/>
  <c r="D116" i="31"/>
  <c r="C179" i="31" l="1"/>
  <c r="I179" i="31" s="1"/>
  <c r="N50" i="31"/>
  <c r="H179" i="31" s="1"/>
  <c r="N179" i="31" s="1"/>
  <c r="D179" i="31"/>
  <c r="J179" i="31" s="1"/>
  <c r="G179" i="31"/>
  <c r="M179" i="31" s="1"/>
  <c r="B52" i="31"/>
  <c r="G51" i="31"/>
  <c r="M51" i="31" s="1"/>
  <c r="E51" i="31"/>
  <c r="F51" i="31"/>
  <c r="D51" i="31"/>
  <c r="J51" i="31" s="1"/>
  <c r="C51" i="31"/>
  <c r="I51" i="31" s="1"/>
  <c r="H51" i="31"/>
  <c r="O178" i="31"/>
  <c r="K50" i="31"/>
  <c r="E179" i="31" s="1"/>
  <c r="K179" i="31" s="1"/>
  <c r="B182" i="31"/>
  <c r="P117" i="31"/>
  <c r="H117" i="31"/>
  <c r="O117" i="31"/>
  <c r="G117" i="31"/>
  <c r="N117" i="31"/>
  <c r="F117" i="31"/>
  <c r="B118" i="31"/>
  <c r="M117" i="31"/>
  <c r="E117" i="31"/>
  <c r="T117" i="31"/>
  <c r="L117" i="31"/>
  <c r="D117" i="31"/>
  <c r="S117" i="31"/>
  <c r="K117" i="31"/>
  <c r="C117" i="31"/>
  <c r="I117" i="31"/>
  <c r="R117" i="31"/>
  <c r="Q117" i="31"/>
  <c r="J117" i="31"/>
  <c r="F179" i="31"/>
  <c r="L179" i="31" s="1"/>
  <c r="B183" i="31" l="1"/>
  <c r="K51" i="31"/>
  <c r="E180" i="31" s="1"/>
  <c r="K180" i="31" s="1"/>
  <c r="G180" i="31"/>
  <c r="M180" i="31" s="1"/>
  <c r="C180" i="31"/>
  <c r="I180" i="31" s="1"/>
  <c r="L51" i="31"/>
  <c r="F180" i="31" s="1"/>
  <c r="L180" i="31" s="1"/>
  <c r="P178" i="31"/>
  <c r="N51" i="31"/>
  <c r="H180" i="31" s="1"/>
  <c r="N180" i="31" s="1"/>
  <c r="O179" i="31"/>
  <c r="P179" i="31" s="1"/>
  <c r="H52" i="31"/>
  <c r="N52" i="31" s="1"/>
  <c r="D52" i="31"/>
  <c r="J52" i="31" s="1"/>
  <c r="F52" i="31"/>
  <c r="C52" i="31"/>
  <c r="I52" i="31" s="1"/>
  <c r="G52" i="31"/>
  <c r="M52" i="31" s="1"/>
  <c r="B53" i="31"/>
  <c r="E52" i="31"/>
  <c r="K52" i="31" s="1"/>
  <c r="B119" i="31"/>
  <c r="M118" i="31"/>
  <c r="E118" i="31"/>
  <c r="T118" i="31"/>
  <c r="L118" i="31"/>
  <c r="D118" i="31"/>
  <c r="S118" i="31"/>
  <c r="K118" i="31"/>
  <c r="C118" i="31"/>
  <c r="R118" i="31"/>
  <c r="J118" i="31"/>
  <c r="Q118" i="31"/>
  <c r="I118" i="31"/>
  <c r="P118" i="31"/>
  <c r="H118" i="31"/>
  <c r="O118" i="31"/>
  <c r="N118" i="31"/>
  <c r="G118" i="31"/>
  <c r="F118" i="31"/>
  <c r="D180" i="31"/>
  <c r="J180" i="31" s="1"/>
  <c r="D181" i="31" l="1"/>
  <c r="J181" i="31" s="1"/>
  <c r="G181" i="31"/>
  <c r="M181" i="31" s="1"/>
  <c r="B184" i="31"/>
  <c r="R119" i="31"/>
  <c r="J119" i="31"/>
  <c r="Q119" i="31"/>
  <c r="I119" i="31"/>
  <c r="P119" i="31"/>
  <c r="H119" i="31"/>
  <c r="O119" i="31"/>
  <c r="G119" i="31"/>
  <c r="N119" i="31"/>
  <c r="F119" i="31"/>
  <c r="B120" i="31"/>
  <c r="M119" i="31"/>
  <c r="E119" i="31"/>
  <c r="C119" i="31"/>
  <c r="T119" i="31"/>
  <c r="S119" i="31"/>
  <c r="L119" i="31"/>
  <c r="K119" i="31"/>
  <c r="D119" i="31"/>
  <c r="E181" i="31"/>
  <c r="K181" i="31" s="1"/>
  <c r="E53" i="31"/>
  <c r="K53" i="31" s="1"/>
  <c r="C53" i="31"/>
  <c r="I53" i="31" s="1"/>
  <c r="B54" i="31"/>
  <c r="H53" i="31"/>
  <c r="D53" i="31"/>
  <c r="G53" i="31"/>
  <c r="F53" i="31"/>
  <c r="H181" i="31"/>
  <c r="N181" i="31" s="1"/>
  <c r="O180" i="31"/>
  <c r="P180" i="31" s="1"/>
  <c r="L52" i="31"/>
  <c r="F181" i="31" s="1"/>
  <c r="L181" i="31" s="1"/>
  <c r="C181" i="31"/>
  <c r="I181" i="31" s="1"/>
  <c r="E182" i="31" l="1"/>
  <c r="K182" i="31" s="1"/>
  <c r="M53" i="31"/>
  <c r="G182" i="31" s="1"/>
  <c r="M182" i="31" s="1"/>
  <c r="H54" i="31"/>
  <c r="N54" i="31" s="1"/>
  <c r="F54" i="31"/>
  <c r="G54" i="31"/>
  <c r="M54" i="31" s="1"/>
  <c r="E54" i="31"/>
  <c r="K54" i="31" s="1"/>
  <c r="B55" i="31"/>
  <c r="D54" i="31"/>
  <c r="C54" i="31"/>
  <c r="I54" i="31" s="1"/>
  <c r="O120" i="31"/>
  <c r="G120" i="31"/>
  <c r="N120" i="31"/>
  <c r="F120" i="31"/>
  <c r="B121" i="31"/>
  <c r="M120" i="31"/>
  <c r="E120" i="31"/>
  <c r="T120" i="31"/>
  <c r="L120" i="31"/>
  <c r="D120" i="31"/>
  <c r="S120" i="31"/>
  <c r="K120" i="31"/>
  <c r="C120" i="31"/>
  <c r="R120" i="31"/>
  <c r="J120" i="31"/>
  <c r="P120" i="31"/>
  <c r="I120" i="31"/>
  <c r="H120" i="31"/>
  <c r="Q120" i="31"/>
  <c r="B185" i="31"/>
  <c r="C182" i="31"/>
  <c r="I182" i="31" s="1"/>
  <c r="O181" i="31"/>
  <c r="J53" i="31"/>
  <c r="D182" i="31" s="1"/>
  <c r="J182" i="31" s="1"/>
  <c r="N53" i="31"/>
  <c r="H182" i="31" s="1"/>
  <c r="N182" i="31" s="1"/>
  <c r="L53" i="31"/>
  <c r="F182" i="31" s="1"/>
  <c r="L182" i="31" s="1"/>
  <c r="T121" i="31" l="1"/>
  <c r="L121" i="31"/>
  <c r="D121" i="31"/>
  <c r="S121" i="31"/>
  <c r="K121" i="31"/>
  <c r="C121" i="31"/>
  <c r="R121" i="31"/>
  <c r="J121" i="31"/>
  <c r="Q121" i="31"/>
  <c r="I121" i="31"/>
  <c r="P121" i="31"/>
  <c r="H121" i="31"/>
  <c r="O121" i="31"/>
  <c r="G121" i="31"/>
  <c r="B122" i="31"/>
  <c r="N121" i="31"/>
  <c r="M121" i="31"/>
  <c r="F121" i="31"/>
  <c r="E121" i="31"/>
  <c r="B186" i="31"/>
  <c r="L54" i="31"/>
  <c r="F183" i="31" s="1"/>
  <c r="L183" i="31" s="1"/>
  <c r="G183" i="31"/>
  <c r="M183" i="31" s="1"/>
  <c r="O182" i="31"/>
  <c r="P182" i="31" s="1"/>
  <c r="E183" i="31"/>
  <c r="K183" i="31" s="1"/>
  <c r="C183" i="31"/>
  <c r="I183" i="31" s="1"/>
  <c r="J54" i="31"/>
  <c r="D183" i="31" s="1"/>
  <c r="J183" i="31" s="1"/>
  <c r="C55" i="31"/>
  <c r="I55" i="31" s="1"/>
  <c r="G55" i="31"/>
  <c r="M55" i="31" s="1"/>
  <c r="F55" i="31"/>
  <c r="B56" i="31"/>
  <c r="E55" i="31"/>
  <c r="K55" i="31" s="1"/>
  <c r="D55" i="31"/>
  <c r="J55" i="31" s="1"/>
  <c r="H55" i="31"/>
  <c r="N55" i="31" s="1"/>
  <c r="H183" i="31"/>
  <c r="N183" i="31" s="1"/>
  <c r="P181" i="31"/>
  <c r="L55" i="31" l="1"/>
  <c r="F184" i="31" s="1"/>
  <c r="L184" i="31" s="1"/>
  <c r="C184" i="31"/>
  <c r="I184" i="31" s="1"/>
  <c r="D184" i="31"/>
  <c r="J184" i="31" s="1"/>
  <c r="B187" i="31"/>
  <c r="E184" i="31"/>
  <c r="K184" i="31" s="1"/>
  <c r="F56" i="31"/>
  <c r="L56" i="31" s="1"/>
  <c r="D56" i="31"/>
  <c r="E56" i="31"/>
  <c r="K56" i="31" s="1"/>
  <c r="C56" i="31"/>
  <c r="I56" i="31" s="1"/>
  <c r="H56" i="31"/>
  <c r="B57" i="31"/>
  <c r="G56" i="31"/>
  <c r="M56" i="31" s="1"/>
  <c r="O183" i="31"/>
  <c r="H184" i="31"/>
  <c r="N184" i="31" s="1"/>
  <c r="G184" i="31"/>
  <c r="M184" i="31" s="1"/>
  <c r="Q122" i="31"/>
  <c r="I122" i="31"/>
  <c r="P122" i="31"/>
  <c r="H122" i="31"/>
  <c r="O122" i="31"/>
  <c r="G122" i="31"/>
  <c r="N122" i="31"/>
  <c r="F122" i="31"/>
  <c r="B123" i="31"/>
  <c r="M122" i="31"/>
  <c r="E122" i="31"/>
  <c r="T122" i="31"/>
  <c r="L122" i="31"/>
  <c r="D122" i="31"/>
  <c r="J122" i="31"/>
  <c r="C122" i="31"/>
  <c r="S122" i="31"/>
  <c r="R122" i="31"/>
  <c r="K122" i="31"/>
  <c r="H57" i="31" l="1"/>
  <c r="N57" i="31" s="1"/>
  <c r="B58" i="31"/>
  <c r="G57" i="31"/>
  <c r="F57" i="31"/>
  <c r="E57" i="31"/>
  <c r="K57" i="31" s="1"/>
  <c r="D57" i="31"/>
  <c r="J57" i="31" s="1"/>
  <c r="C57" i="31"/>
  <c r="I57" i="31" s="1"/>
  <c r="F185" i="31"/>
  <c r="L185" i="31" s="1"/>
  <c r="B188" i="31"/>
  <c r="N123" i="31"/>
  <c r="F123" i="31"/>
  <c r="B124" i="31"/>
  <c r="M123" i="31"/>
  <c r="E123" i="31"/>
  <c r="T123" i="31"/>
  <c r="L123" i="31"/>
  <c r="D123" i="31"/>
  <c r="S123" i="31"/>
  <c r="K123" i="31"/>
  <c r="C123" i="31"/>
  <c r="R123" i="31"/>
  <c r="J123" i="31"/>
  <c r="Q123" i="31"/>
  <c r="I123" i="31"/>
  <c r="P123" i="31"/>
  <c r="O123" i="31"/>
  <c r="H123" i="31"/>
  <c r="G123" i="31"/>
  <c r="N56" i="31"/>
  <c r="H185" i="31" s="1"/>
  <c r="N185" i="31" s="1"/>
  <c r="E185" i="31"/>
  <c r="K185" i="31" s="1"/>
  <c r="G185" i="31"/>
  <c r="M185" i="31" s="1"/>
  <c r="C185" i="31"/>
  <c r="I185" i="31" s="1"/>
  <c r="O184" i="31"/>
  <c r="P184" i="31" s="1"/>
  <c r="P183" i="31"/>
  <c r="J56" i="31"/>
  <c r="D185" i="31" s="1"/>
  <c r="J185" i="31" s="1"/>
  <c r="O185" i="31" l="1"/>
  <c r="P185" i="31" s="1"/>
  <c r="L57" i="31"/>
  <c r="F186" i="31" s="1"/>
  <c r="L186" i="31" s="1"/>
  <c r="C186" i="31"/>
  <c r="I186" i="31" s="1"/>
  <c r="E58" i="31"/>
  <c r="K58" i="31" s="1"/>
  <c r="D58" i="31"/>
  <c r="J58" i="31" s="1"/>
  <c r="C58" i="31"/>
  <c r="I58" i="31" s="1"/>
  <c r="H58" i="31"/>
  <c r="N58" i="31" s="1"/>
  <c r="B59" i="31"/>
  <c r="G58" i="31"/>
  <c r="M58" i="31" s="1"/>
  <c r="F58" i="31"/>
  <c r="L58" i="31" s="1"/>
  <c r="S124" i="31"/>
  <c r="K124" i="31"/>
  <c r="C124" i="31"/>
  <c r="R124" i="31"/>
  <c r="J124" i="31"/>
  <c r="Q124" i="31"/>
  <c r="I124" i="31"/>
  <c r="P124" i="31"/>
  <c r="H124" i="31"/>
  <c r="O124" i="31"/>
  <c r="G124" i="31"/>
  <c r="N124" i="31"/>
  <c r="F124" i="31"/>
  <c r="D124" i="31"/>
  <c r="B125" i="31"/>
  <c r="T124" i="31"/>
  <c r="M124" i="31"/>
  <c r="L124" i="31"/>
  <c r="E124" i="31"/>
  <c r="B189" i="31"/>
  <c r="D186" i="31"/>
  <c r="J186" i="31" s="1"/>
  <c r="H186" i="31"/>
  <c r="N186" i="31" s="1"/>
  <c r="E186" i="31"/>
  <c r="K186" i="31" s="1"/>
  <c r="M57" i="31"/>
  <c r="G186" i="31" s="1"/>
  <c r="M186" i="31" s="1"/>
  <c r="E187" i="31" l="1"/>
  <c r="K187" i="31" s="1"/>
  <c r="B190" i="31"/>
  <c r="H187" i="31"/>
  <c r="N187" i="31" s="1"/>
  <c r="O186" i="31"/>
  <c r="H59" i="31"/>
  <c r="N59" i="31" s="1"/>
  <c r="B60" i="31"/>
  <c r="G59" i="31"/>
  <c r="M59" i="31" s="1"/>
  <c r="F59" i="31"/>
  <c r="L59" i="31" s="1"/>
  <c r="E59" i="31"/>
  <c r="K59" i="31" s="1"/>
  <c r="D59" i="31"/>
  <c r="J59" i="31" s="1"/>
  <c r="C59" i="31"/>
  <c r="I59" i="31" s="1"/>
  <c r="C187" i="31"/>
  <c r="I187" i="31" s="1"/>
  <c r="F187" i="31"/>
  <c r="L187" i="31" s="1"/>
  <c r="P125" i="31"/>
  <c r="H125" i="31"/>
  <c r="O125" i="31"/>
  <c r="G125" i="31"/>
  <c r="N125" i="31"/>
  <c r="F125" i="31"/>
  <c r="B126" i="31"/>
  <c r="M125" i="31"/>
  <c r="E125" i="31"/>
  <c r="T125" i="31"/>
  <c r="L125" i="31"/>
  <c r="D125" i="31"/>
  <c r="S125" i="31"/>
  <c r="K125" i="31"/>
  <c r="C125" i="31"/>
  <c r="Q125" i="31"/>
  <c r="J125" i="31"/>
  <c r="I125" i="31"/>
  <c r="R125" i="31"/>
  <c r="G187" i="31"/>
  <c r="M187" i="31" s="1"/>
  <c r="D187" i="31"/>
  <c r="J187" i="31" s="1"/>
  <c r="O187" i="31" l="1"/>
  <c r="P187" i="31" s="1"/>
  <c r="B127" i="31"/>
  <c r="M126" i="31"/>
  <c r="E126" i="31"/>
  <c r="T126" i="31"/>
  <c r="L126" i="31"/>
  <c r="D126" i="31"/>
  <c r="S126" i="31"/>
  <c r="K126" i="31"/>
  <c r="C126" i="31"/>
  <c r="R126" i="31"/>
  <c r="J126" i="31"/>
  <c r="Q126" i="31"/>
  <c r="I126" i="31"/>
  <c r="P126" i="31"/>
  <c r="H126" i="31"/>
  <c r="O126" i="31"/>
  <c r="N126" i="31"/>
  <c r="G126" i="31"/>
  <c r="F126" i="31"/>
  <c r="F188" i="31"/>
  <c r="L188" i="31" s="1"/>
  <c r="C188" i="31"/>
  <c r="I188" i="31" s="1"/>
  <c r="G188" i="31"/>
  <c r="M188" i="31" s="1"/>
  <c r="C60" i="31"/>
  <c r="I60" i="31" s="1"/>
  <c r="H60" i="31"/>
  <c r="N60" i="31" s="1"/>
  <c r="B61" i="31"/>
  <c r="G60" i="31"/>
  <c r="F60" i="31"/>
  <c r="E60" i="31"/>
  <c r="K60" i="31" s="1"/>
  <c r="D60" i="31"/>
  <c r="J60" i="31" s="1"/>
  <c r="D188" i="31"/>
  <c r="J188" i="31" s="1"/>
  <c r="H188" i="31"/>
  <c r="N188" i="31" s="1"/>
  <c r="B191" i="31"/>
  <c r="P186" i="31"/>
  <c r="E188" i="31"/>
  <c r="K188" i="31" s="1"/>
  <c r="O188" i="31" l="1"/>
  <c r="P188" i="31" s="1"/>
  <c r="F61" i="31"/>
  <c r="L61" i="31" s="1"/>
  <c r="E61" i="31"/>
  <c r="K61" i="31" s="1"/>
  <c r="D61" i="31"/>
  <c r="C61" i="31"/>
  <c r="I61" i="31" s="1"/>
  <c r="B62" i="31"/>
  <c r="H61" i="31"/>
  <c r="G61" i="31"/>
  <c r="H189" i="31"/>
  <c r="N189" i="31" s="1"/>
  <c r="L60" i="31"/>
  <c r="F189" i="31" s="1"/>
  <c r="L189" i="31" s="1"/>
  <c r="B192" i="31"/>
  <c r="M60" i="31"/>
  <c r="G189" i="31" s="1"/>
  <c r="M189" i="31" s="1"/>
  <c r="R127" i="31"/>
  <c r="J127" i="31"/>
  <c r="Q127" i="31"/>
  <c r="I127" i="31"/>
  <c r="P127" i="31"/>
  <c r="H127" i="31"/>
  <c r="O127" i="31"/>
  <c r="G127" i="31"/>
  <c r="N127" i="31"/>
  <c r="F127" i="31"/>
  <c r="B128" i="31"/>
  <c r="M127" i="31"/>
  <c r="E127" i="31"/>
  <c r="K127" i="31"/>
  <c r="D127" i="31"/>
  <c r="C127" i="31"/>
  <c r="T127" i="31"/>
  <c r="S127" i="31"/>
  <c r="L127" i="31"/>
  <c r="D189" i="31"/>
  <c r="J189" i="31" s="1"/>
  <c r="E189" i="31"/>
  <c r="K189" i="31" s="1"/>
  <c r="C189" i="31"/>
  <c r="I189" i="31" s="1"/>
  <c r="O189" i="31" l="1"/>
  <c r="B193" i="31"/>
  <c r="E190" i="31"/>
  <c r="K190" i="31" s="1"/>
  <c r="O128" i="31"/>
  <c r="G128" i="31"/>
  <c r="N128" i="31"/>
  <c r="F128" i="31"/>
  <c r="B129" i="31"/>
  <c r="M128" i="31"/>
  <c r="E128" i="31"/>
  <c r="T128" i="31"/>
  <c r="L128" i="31"/>
  <c r="D128" i="31"/>
  <c r="S128" i="31"/>
  <c r="K128" i="31"/>
  <c r="C128" i="31"/>
  <c r="R128" i="31"/>
  <c r="J128" i="31"/>
  <c r="Q128" i="31"/>
  <c r="P128" i="31"/>
  <c r="I128" i="31"/>
  <c r="H128" i="31"/>
  <c r="H62" i="31"/>
  <c r="N62" i="31" s="1"/>
  <c r="B63" i="31"/>
  <c r="G62" i="31"/>
  <c r="M62" i="31" s="1"/>
  <c r="F62" i="31"/>
  <c r="L62" i="31" s="1"/>
  <c r="E62" i="31"/>
  <c r="D62" i="31"/>
  <c r="J62" i="31" s="1"/>
  <c r="C62" i="31"/>
  <c r="I62" i="31" s="1"/>
  <c r="M61" i="31"/>
  <c r="G190" i="31" s="1"/>
  <c r="M190" i="31" s="1"/>
  <c r="F190" i="31"/>
  <c r="L190" i="31" s="1"/>
  <c r="N61" i="31"/>
  <c r="H190" i="31" s="1"/>
  <c r="N190" i="31" s="1"/>
  <c r="J61" i="31"/>
  <c r="D190" i="31" s="1"/>
  <c r="J190" i="31" s="1"/>
  <c r="C190" i="31"/>
  <c r="I190" i="31" s="1"/>
  <c r="O190" i="31" l="1"/>
  <c r="P190" i="31" s="1"/>
  <c r="F191" i="31"/>
  <c r="L191" i="31" s="1"/>
  <c r="K62" i="31"/>
  <c r="E191" i="31" s="1"/>
  <c r="K191" i="31" s="1"/>
  <c r="D191" i="31"/>
  <c r="J191" i="31" s="1"/>
  <c r="G191" i="31"/>
  <c r="M191" i="31" s="1"/>
  <c r="C191" i="31"/>
  <c r="I191" i="31" s="1"/>
  <c r="D63" i="31"/>
  <c r="C63" i="31"/>
  <c r="I63" i="31" s="1"/>
  <c r="H63" i="31"/>
  <c r="N63" i="31" s="1"/>
  <c r="B64" i="31"/>
  <c r="G63" i="31"/>
  <c r="F63" i="31"/>
  <c r="L63" i="31" s="1"/>
  <c r="E63" i="31"/>
  <c r="P189" i="31"/>
  <c r="H191" i="31"/>
  <c r="N191" i="31" s="1"/>
  <c r="T129" i="31"/>
  <c r="L129" i="31"/>
  <c r="D129" i="31"/>
  <c r="S129" i="31"/>
  <c r="K129" i="31"/>
  <c r="C129" i="31"/>
  <c r="R129" i="31"/>
  <c r="J129" i="31"/>
  <c r="Q129" i="31"/>
  <c r="I129" i="31"/>
  <c r="P129" i="31"/>
  <c r="H129" i="31"/>
  <c r="O129" i="31"/>
  <c r="G129" i="31"/>
  <c r="E129" i="31"/>
  <c r="B130" i="31"/>
  <c r="N129" i="31"/>
  <c r="M129" i="31"/>
  <c r="F129" i="31"/>
  <c r="N193" i="31"/>
  <c r="F193" i="31"/>
  <c r="M193" i="31"/>
  <c r="E193" i="31"/>
  <c r="L193" i="31"/>
  <c r="D193" i="31"/>
  <c r="J193" i="31"/>
  <c r="B194" i="31"/>
  <c r="I193" i="31"/>
  <c r="P193" i="31"/>
  <c r="O193" i="31"/>
  <c r="K193" i="31"/>
  <c r="H193" i="31"/>
  <c r="G193" i="31"/>
  <c r="C193" i="31"/>
  <c r="P130" i="31" l="1"/>
  <c r="H130" i="31"/>
  <c r="O130" i="31"/>
  <c r="N130" i="31"/>
  <c r="B131" i="31"/>
  <c r="M130" i="31"/>
  <c r="T130" i="31"/>
  <c r="S130" i="31"/>
  <c r="J130" i="31"/>
  <c r="I130" i="31"/>
  <c r="G130" i="31"/>
  <c r="F130" i="31"/>
  <c r="R130" i="31"/>
  <c r="E130" i="31"/>
  <c r="Q130" i="31"/>
  <c r="D130" i="31"/>
  <c r="L130" i="31"/>
  <c r="K130" i="31"/>
  <c r="C130" i="31"/>
  <c r="B65" i="31"/>
  <c r="G64" i="31"/>
  <c r="N64" i="31"/>
  <c r="F64" i="31"/>
  <c r="M64" i="31"/>
  <c r="E64" i="31"/>
  <c r="L64" i="31"/>
  <c r="D64" i="31"/>
  <c r="K64" i="31"/>
  <c r="C64" i="31"/>
  <c r="J64" i="31"/>
  <c r="I64" i="31"/>
  <c r="H64" i="31"/>
  <c r="O191" i="31"/>
  <c r="P191" i="31" s="1"/>
  <c r="H192" i="31"/>
  <c r="N192" i="31" s="1"/>
  <c r="J63" i="31"/>
  <c r="D192" i="31" s="1"/>
  <c r="J192" i="31" s="1"/>
  <c r="O194" i="31"/>
  <c r="G194" i="31"/>
  <c r="N194" i="31"/>
  <c r="F194" i="31"/>
  <c r="M194" i="31"/>
  <c r="E194" i="31"/>
  <c r="K194" i="31"/>
  <c r="C194" i="31"/>
  <c r="J194" i="31"/>
  <c r="H194" i="31"/>
  <c r="D194" i="31"/>
  <c r="B195" i="31"/>
  <c r="P194" i="31"/>
  <c r="L194" i="31"/>
  <c r="I194" i="31"/>
  <c r="F192" i="31"/>
  <c r="L192" i="31" s="1"/>
  <c r="C192" i="31"/>
  <c r="I192" i="31" s="1"/>
  <c r="M63" i="31"/>
  <c r="G192" i="31" s="1"/>
  <c r="M192" i="31" s="1"/>
  <c r="K63" i="31"/>
  <c r="E192" i="31" s="1"/>
  <c r="K192" i="31" s="1"/>
  <c r="J65" i="31" l="1"/>
  <c r="I65" i="31"/>
  <c r="H65" i="31"/>
  <c r="B66" i="31"/>
  <c r="G65" i="31"/>
  <c r="N65" i="31"/>
  <c r="F65" i="31"/>
  <c r="M65" i="31"/>
  <c r="E65" i="31"/>
  <c r="D65" i="31"/>
  <c r="L65" i="31"/>
  <c r="K65" i="31"/>
  <c r="C65" i="31"/>
  <c r="B132" i="31"/>
  <c r="M131" i="31"/>
  <c r="E131" i="31"/>
  <c r="T131" i="31"/>
  <c r="L131" i="31"/>
  <c r="D131" i="31"/>
  <c r="S131" i="31"/>
  <c r="K131" i="31"/>
  <c r="C131" i="31"/>
  <c r="R131" i="31"/>
  <c r="J131" i="31"/>
  <c r="Q131" i="31"/>
  <c r="I131" i="31"/>
  <c r="P131" i="31"/>
  <c r="H131" i="31"/>
  <c r="O131" i="31"/>
  <c r="N131" i="31"/>
  <c r="G131" i="31"/>
  <c r="F131" i="31"/>
  <c r="P195" i="31"/>
  <c r="H195" i="31"/>
  <c r="O195" i="31"/>
  <c r="G195" i="31"/>
  <c r="N195" i="31"/>
  <c r="F195" i="31"/>
  <c r="L195" i="31"/>
  <c r="D195" i="31"/>
  <c r="K195" i="31"/>
  <c r="C195" i="31"/>
  <c r="M195" i="31"/>
  <c r="J195" i="31"/>
  <c r="I195" i="31"/>
  <c r="E195" i="31"/>
  <c r="B196" i="31"/>
  <c r="O192" i="31"/>
  <c r="P192" i="31" s="1"/>
  <c r="R132" i="31" l="1"/>
  <c r="J132" i="31"/>
  <c r="Q132" i="31"/>
  <c r="I132" i="31"/>
  <c r="P132" i="31"/>
  <c r="H132" i="31"/>
  <c r="O132" i="31"/>
  <c r="G132" i="31"/>
  <c r="N132" i="31"/>
  <c r="F132" i="31"/>
  <c r="B133" i="31"/>
  <c r="M132" i="31"/>
  <c r="E132" i="31"/>
  <c r="T132" i="31"/>
  <c r="S132" i="31"/>
  <c r="L132" i="31"/>
  <c r="K132" i="31"/>
  <c r="C132" i="31"/>
  <c r="D132" i="31"/>
  <c r="M66" i="31"/>
  <c r="E66" i="31"/>
  <c r="L66" i="31"/>
  <c r="D66" i="31"/>
  <c r="K66" i="31"/>
  <c r="C66" i="31"/>
  <c r="J66" i="31"/>
  <c r="I66" i="31"/>
  <c r="H66" i="31"/>
  <c r="B67" i="31"/>
  <c r="N66" i="31"/>
  <c r="G66" i="31"/>
  <c r="F66" i="31"/>
  <c r="B197" i="31"/>
  <c r="I196" i="31"/>
  <c r="P196" i="31"/>
  <c r="H196" i="31"/>
  <c r="O196" i="31"/>
  <c r="G196" i="31"/>
  <c r="M196" i="31"/>
  <c r="E196" i="31"/>
  <c r="L196" i="31"/>
  <c r="D196" i="31"/>
  <c r="N196" i="31"/>
  <c r="K196" i="31"/>
  <c r="J196" i="31"/>
  <c r="F196" i="31"/>
  <c r="C196" i="31"/>
  <c r="H67" i="31" l="1"/>
  <c r="B68" i="31"/>
  <c r="G67" i="31"/>
  <c r="N67" i="31"/>
  <c r="F67" i="31"/>
  <c r="M67" i="31"/>
  <c r="E67" i="31"/>
  <c r="L67" i="31"/>
  <c r="D67" i="31"/>
  <c r="K67" i="31"/>
  <c r="C67" i="31"/>
  <c r="J67" i="31"/>
  <c r="I67" i="31"/>
  <c r="O133" i="31"/>
  <c r="G133" i="31"/>
  <c r="N133" i="31"/>
  <c r="F133" i="31"/>
  <c r="B134" i="31"/>
  <c r="M133" i="31"/>
  <c r="E133" i="31"/>
  <c r="T133" i="31"/>
  <c r="L133" i="31"/>
  <c r="D133" i="31"/>
  <c r="S133" i="31"/>
  <c r="K133" i="31"/>
  <c r="C133" i="31"/>
  <c r="R133" i="31"/>
  <c r="J133" i="31"/>
  <c r="I133" i="31"/>
  <c r="H133" i="31"/>
  <c r="Q133" i="31"/>
  <c r="P133" i="31"/>
  <c r="J197" i="31"/>
  <c r="B198" i="31"/>
  <c r="I197" i="31"/>
  <c r="P197" i="31"/>
  <c r="H197" i="31"/>
  <c r="N197" i="31"/>
  <c r="F197" i="31"/>
  <c r="M197" i="31"/>
  <c r="E197" i="31"/>
  <c r="D197" i="31"/>
  <c r="C197" i="31"/>
  <c r="O197" i="31"/>
  <c r="L197" i="31"/>
  <c r="K197" i="31"/>
  <c r="G197" i="31"/>
  <c r="K198" i="31" l="1"/>
  <c r="C198" i="31"/>
  <c r="J198" i="31"/>
  <c r="B199" i="31"/>
  <c r="I198" i="31"/>
  <c r="O198" i="31"/>
  <c r="G198" i="31"/>
  <c r="N198" i="31"/>
  <c r="F198" i="31"/>
  <c r="L198" i="31"/>
  <c r="H198" i="31"/>
  <c r="E198" i="31"/>
  <c r="D198" i="31"/>
  <c r="P198" i="31"/>
  <c r="M198" i="31"/>
  <c r="T134" i="31"/>
  <c r="L134" i="31"/>
  <c r="D134" i="31"/>
  <c r="S134" i="31"/>
  <c r="K134" i="31"/>
  <c r="C134" i="31"/>
  <c r="R134" i="31"/>
  <c r="J134" i="31"/>
  <c r="Q134" i="31"/>
  <c r="I134" i="31"/>
  <c r="P134" i="31"/>
  <c r="H134" i="31"/>
  <c r="O134" i="31"/>
  <c r="G134" i="31"/>
  <c r="B135" i="31"/>
  <c r="N134" i="31"/>
  <c r="M134" i="31"/>
  <c r="F134" i="31"/>
  <c r="E134" i="31"/>
  <c r="K68" i="31"/>
  <c r="C68" i="31"/>
  <c r="J68" i="31"/>
  <c r="I68" i="31"/>
  <c r="H68" i="31"/>
  <c r="B69" i="31"/>
  <c r="G68" i="31"/>
  <c r="N68" i="31"/>
  <c r="F68" i="31"/>
  <c r="M68" i="31"/>
  <c r="L68" i="31"/>
  <c r="E68" i="31"/>
  <c r="D68" i="31"/>
  <c r="N69" i="31" l="1"/>
  <c r="F69" i="31"/>
  <c r="M69" i="31"/>
  <c r="E69" i="31"/>
  <c r="L69" i="31"/>
  <c r="D69" i="31"/>
  <c r="K69" i="31"/>
  <c r="C69" i="31"/>
  <c r="J69" i="31"/>
  <c r="I69" i="31"/>
  <c r="H69" i="31"/>
  <c r="G69" i="31"/>
  <c r="B70" i="31"/>
  <c r="L199" i="31"/>
  <c r="D199" i="31"/>
  <c r="K199" i="31"/>
  <c r="C199" i="31"/>
  <c r="J199" i="31"/>
  <c r="P199" i="31"/>
  <c r="H199" i="31"/>
  <c r="O199" i="31"/>
  <c r="G199" i="31"/>
  <c r="B200" i="31"/>
  <c r="N199" i="31"/>
  <c r="M199" i="31"/>
  <c r="I199" i="31"/>
  <c r="F199" i="31"/>
  <c r="E199" i="31"/>
  <c r="Q135" i="31"/>
  <c r="I135" i="31"/>
  <c r="P135" i="31"/>
  <c r="H135" i="31"/>
  <c r="O135" i="31"/>
  <c r="G135" i="31"/>
  <c r="N135" i="31"/>
  <c r="F135" i="31"/>
  <c r="B136" i="31"/>
  <c r="M135" i="31"/>
  <c r="E135" i="31"/>
  <c r="T135" i="31"/>
  <c r="L135" i="31"/>
  <c r="D135" i="31"/>
  <c r="C135" i="31"/>
  <c r="S135" i="31"/>
  <c r="R135" i="31"/>
  <c r="K135" i="31"/>
  <c r="J135" i="31"/>
  <c r="M200" i="31" l="1"/>
  <c r="E200" i="31"/>
  <c r="L200" i="31"/>
  <c r="D200" i="31"/>
  <c r="K200" i="31"/>
  <c r="C200" i="31"/>
  <c r="B201" i="31"/>
  <c r="I200" i="31"/>
  <c r="P200" i="31"/>
  <c r="H200" i="31"/>
  <c r="O200" i="31"/>
  <c r="N200" i="31"/>
  <c r="J200" i="31"/>
  <c r="G200" i="31"/>
  <c r="F200" i="31"/>
  <c r="N136" i="31"/>
  <c r="F136" i="31"/>
  <c r="B137" i="31"/>
  <c r="M136" i="31"/>
  <c r="E136" i="31"/>
  <c r="T136" i="31"/>
  <c r="L136" i="31"/>
  <c r="D136" i="31"/>
  <c r="S136" i="31"/>
  <c r="K136" i="31"/>
  <c r="C136" i="31"/>
  <c r="R136" i="31"/>
  <c r="J136" i="31"/>
  <c r="Q136" i="31"/>
  <c r="I136" i="31"/>
  <c r="P136" i="31"/>
  <c r="O136" i="31"/>
  <c r="H136" i="31"/>
  <c r="G136" i="31"/>
  <c r="I70" i="31"/>
  <c r="H70" i="31"/>
  <c r="B71" i="31"/>
  <c r="G70" i="31"/>
  <c r="N70" i="31"/>
  <c r="F70" i="31"/>
  <c r="M70" i="31"/>
  <c r="E70" i="31"/>
  <c r="L70" i="31"/>
  <c r="D70" i="31"/>
  <c r="C70" i="31"/>
  <c r="K70" i="31"/>
  <c r="J70" i="31"/>
  <c r="N201" i="31" l="1"/>
  <c r="F201" i="31"/>
  <c r="M201" i="31"/>
  <c r="E201" i="31"/>
  <c r="L201" i="31"/>
  <c r="D201" i="31"/>
  <c r="J201" i="31"/>
  <c r="B202" i="31"/>
  <c r="I201" i="31"/>
  <c r="H201" i="31"/>
  <c r="G201" i="31"/>
  <c r="C201" i="31"/>
  <c r="P201" i="31"/>
  <c r="O201" i="31"/>
  <c r="K201" i="31"/>
  <c r="L71" i="31"/>
  <c r="D71" i="31"/>
  <c r="K71" i="31"/>
  <c r="C71" i="31"/>
  <c r="J71" i="31"/>
  <c r="I71" i="31"/>
  <c r="H71" i="31"/>
  <c r="B72" i="31"/>
  <c r="G71" i="31"/>
  <c r="N71" i="31"/>
  <c r="M71" i="31"/>
  <c r="F71" i="31"/>
  <c r="E71" i="31"/>
  <c r="S137" i="31"/>
  <c r="K137" i="31"/>
  <c r="C137" i="31"/>
  <c r="R137" i="31"/>
  <c r="J137" i="31"/>
  <c r="Q137" i="31"/>
  <c r="I137" i="31"/>
  <c r="P137" i="31"/>
  <c r="H137" i="31"/>
  <c r="O137" i="31"/>
  <c r="G137" i="31"/>
  <c r="N137" i="31"/>
  <c r="F137" i="31"/>
  <c r="B138" i="31"/>
  <c r="T137" i="31"/>
  <c r="M137" i="31"/>
  <c r="L137" i="31"/>
  <c r="E137" i="31"/>
  <c r="D137" i="31"/>
  <c r="O202" i="31" l="1"/>
  <c r="N3" i="31" s="1"/>
  <c r="G202" i="31"/>
  <c r="N202" i="31"/>
  <c r="I67" i="14" s="1"/>
  <c r="F202" i="31"/>
  <c r="M202" i="31"/>
  <c r="H67" i="14" s="1"/>
  <c r="E202" i="31"/>
  <c r="K202" i="31"/>
  <c r="F67" i="14" s="1"/>
  <c r="C202" i="31"/>
  <c r="J202" i="31"/>
  <c r="E67" i="14" s="1"/>
  <c r="P202" i="31"/>
  <c r="L202" i="31"/>
  <c r="G67" i="14" s="1"/>
  <c r="I202" i="31"/>
  <c r="D67" i="14" s="1"/>
  <c r="H202" i="31"/>
  <c r="D202" i="31"/>
  <c r="M72" i="31"/>
  <c r="E72" i="31"/>
  <c r="L72" i="31"/>
  <c r="D72" i="31"/>
  <c r="J72" i="31"/>
  <c r="I72" i="31"/>
  <c r="K72" i="31"/>
  <c r="H72" i="31"/>
  <c r="G72" i="31"/>
  <c r="F72" i="31"/>
  <c r="C72" i="31"/>
  <c r="B73" i="31"/>
  <c r="N72" i="31"/>
  <c r="P138" i="31"/>
  <c r="H138" i="31"/>
  <c r="O138" i="31"/>
  <c r="G138" i="31"/>
  <c r="N138" i="31"/>
  <c r="F138" i="31"/>
  <c r="B139" i="31"/>
  <c r="M138" i="31"/>
  <c r="E138" i="31"/>
  <c r="T138" i="31"/>
  <c r="L138" i="31"/>
  <c r="D138" i="31"/>
  <c r="S138" i="31"/>
  <c r="K138" i="31"/>
  <c r="C138" i="31"/>
  <c r="J138" i="31"/>
  <c r="I138" i="31"/>
  <c r="Q138" i="31"/>
  <c r="R138" i="31"/>
  <c r="J67" i="14" l="1"/>
  <c r="D91" i="14" s="1"/>
  <c r="M139" i="31"/>
  <c r="E139" i="31"/>
  <c r="T139" i="31"/>
  <c r="L139" i="31"/>
  <c r="D139" i="31"/>
  <c r="S139" i="31"/>
  <c r="K139" i="31"/>
  <c r="C139" i="31"/>
  <c r="R139" i="31"/>
  <c r="J139" i="31"/>
  <c r="Q139" i="31"/>
  <c r="I139" i="31"/>
  <c r="P139" i="31"/>
  <c r="H139" i="31"/>
  <c r="O139" i="31"/>
  <c r="N139" i="31"/>
  <c r="G139" i="31"/>
  <c r="F139" i="31"/>
  <c r="H73" i="31"/>
  <c r="G73" i="31"/>
  <c r="M73" i="31"/>
  <c r="E73" i="31"/>
  <c r="L73" i="31"/>
  <c r="D73" i="31"/>
  <c r="N73" i="31"/>
  <c r="K73" i="31"/>
  <c r="J73" i="31"/>
  <c r="I73" i="31"/>
  <c r="F73" i="31"/>
  <c r="C73" i="31"/>
  <c r="D50" i="21" l="1"/>
  <c r="D108" i="14"/>
  <c r="D67" i="21" s="1"/>
  <c r="D10" i="28" l="1"/>
  <c r="D13" i="28" s="1"/>
  <c r="E13" i="28" s="1"/>
  <c r="D83" i="28" l="1"/>
  <c r="D82" i="28"/>
  <c r="J18" i="14" l="1"/>
  <c r="J21" i="14" s="1"/>
  <c r="I37" i="23" l="1"/>
  <c r="H37" i="23"/>
  <c r="G37" i="23"/>
  <c r="F37" i="23"/>
  <c r="E37" i="23"/>
  <c r="D37" i="23"/>
  <c r="I33" i="23"/>
  <c r="H33" i="23"/>
  <c r="G33" i="23"/>
  <c r="F33" i="23"/>
  <c r="E33" i="23"/>
  <c r="D33" i="23"/>
  <c r="D73" i="14"/>
  <c r="C48" i="27"/>
  <c r="C47" i="27"/>
  <c r="C46" i="27"/>
  <c r="C37" i="27"/>
  <c r="C36" i="27"/>
  <c r="C35" i="27"/>
  <c r="C34" i="27"/>
  <c r="C31" i="27"/>
  <c r="C30" i="27"/>
  <c r="C29" i="27"/>
  <c r="C28" i="27"/>
  <c r="C25" i="27"/>
  <c r="C24" i="27"/>
  <c r="C23" i="27"/>
  <c r="C22" i="27"/>
  <c r="C19" i="27"/>
  <c r="C18" i="27"/>
  <c r="C17" i="27"/>
  <c r="C16" i="27"/>
  <c r="C13" i="27"/>
  <c r="C12" i="27"/>
  <c r="C11" i="27"/>
  <c r="C10" i="27"/>
  <c r="C7" i="27"/>
  <c r="C6" i="27"/>
  <c r="C5" i="27"/>
  <c r="C4" i="27"/>
  <c r="F125" i="23"/>
  <c r="F124" i="23"/>
  <c r="F123" i="23"/>
  <c r="F121" i="23"/>
  <c r="F120" i="23"/>
  <c r="F119" i="23"/>
  <c r="F118" i="23"/>
  <c r="H90" i="23"/>
  <c r="G90" i="23"/>
  <c r="F90" i="23"/>
  <c r="E90" i="23"/>
  <c r="D90" i="23"/>
  <c r="H86" i="23"/>
  <c r="G86" i="23"/>
  <c r="F86" i="23"/>
  <c r="E86" i="23"/>
  <c r="D86" i="23"/>
  <c r="H82" i="23"/>
  <c r="G82" i="23"/>
  <c r="F82" i="23"/>
  <c r="E82" i="23"/>
  <c r="D82" i="23"/>
  <c r="H78" i="23"/>
  <c r="G78" i="23"/>
  <c r="F78" i="23"/>
  <c r="E78" i="23"/>
  <c r="D78" i="23"/>
  <c r="H74" i="23"/>
  <c r="G74" i="23"/>
  <c r="F74" i="23"/>
  <c r="E74" i="23"/>
  <c r="D74" i="23"/>
  <c r="H70" i="23"/>
  <c r="G70" i="23"/>
  <c r="F70" i="23"/>
  <c r="E70" i="23"/>
  <c r="D70" i="23"/>
  <c r="H66" i="23"/>
  <c r="G66" i="23"/>
  <c r="F66" i="23"/>
  <c r="E66" i="23"/>
  <c r="D66" i="23"/>
  <c r="H62" i="23"/>
  <c r="G62" i="23"/>
  <c r="F62" i="23"/>
  <c r="E62" i="23"/>
  <c r="D62" i="23"/>
  <c r="D120" i="23"/>
  <c r="K3" i="26" s="1"/>
  <c r="D119" i="23"/>
  <c r="J3" i="26" s="1"/>
  <c r="F24" i="18" s="1"/>
  <c r="D118" i="23"/>
  <c r="G3" i="26" s="1"/>
  <c r="F23" i="18" s="1"/>
  <c r="G23" i="18" s="1"/>
  <c r="D196" i="18" s="1"/>
  <c r="D117" i="23"/>
  <c r="F3" i="26" s="1"/>
  <c r="F22" i="18" s="1"/>
  <c r="G22" i="18" s="1"/>
  <c r="D187" i="18" s="1"/>
  <c r="Q35" i="21" s="1"/>
  <c r="D121" i="23"/>
  <c r="E3" i="26" s="1"/>
  <c r="F26" i="18" s="1"/>
  <c r="G26" i="18" s="1"/>
  <c r="E35" i="23"/>
  <c r="D8" i="24" s="1"/>
  <c r="F35" i="23"/>
  <c r="E8" i="24" s="1"/>
  <c r="F63" i="14" s="1"/>
  <c r="G35" i="23"/>
  <c r="F8" i="24" s="1"/>
  <c r="H35" i="23"/>
  <c r="G8" i="24" s="1"/>
  <c r="I35" i="23"/>
  <c r="H8" i="24" s="1"/>
  <c r="D35" i="23"/>
  <c r="I31" i="23"/>
  <c r="H3" i="24" s="1"/>
  <c r="H31" i="23"/>
  <c r="G3" i="24" s="1"/>
  <c r="G31" i="23"/>
  <c r="F3" i="24" s="1"/>
  <c r="F31" i="23"/>
  <c r="E3" i="24" s="1"/>
  <c r="E31" i="23"/>
  <c r="D3" i="24" s="1"/>
  <c r="D31" i="23"/>
  <c r="C4" i="23"/>
  <c r="C3" i="23"/>
  <c r="H64" i="14" l="1"/>
  <c r="H63" i="14"/>
  <c r="G64" i="14"/>
  <c r="G63" i="14"/>
  <c r="I64" i="14"/>
  <c r="I63" i="14"/>
  <c r="G61" i="14"/>
  <c r="G60" i="14"/>
  <c r="H61" i="14"/>
  <c r="H60" i="14"/>
  <c r="J125" i="30"/>
  <c r="J110" i="30"/>
  <c r="I125" i="30"/>
  <c r="I110" i="30"/>
  <c r="K110" i="30"/>
  <c r="K125" i="30"/>
  <c r="E64" i="14"/>
  <c r="D198" i="18"/>
  <c r="Q43" i="21"/>
  <c r="D223" i="18"/>
  <c r="Q67" i="21" s="1"/>
  <c r="E63" i="14"/>
  <c r="K119" i="30"/>
  <c r="K104" i="30"/>
  <c r="K121" i="30"/>
  <c r="K106" i="30"/>
  <c r="K123" i="30"/>
  <c r="K108" i="30"/>
  <c r="L104" i="30"/>
  <c r="L119" i="30"/>
  <c r="L106" i="30"/>
  <c r="L121" i="30"/>
  <c r="L123" i="30"/>
  <c r="L108" i="30"/>
  <c r="K103" i="30"/>
  <c r="K118" i="30"/>
  <c r="K105" i="30"/>
  <c r="K120" i="30"/>
  <c r="K107" i="30"/>
  <c r="K122" i="30"/>
  <c r="K109" i="30"/>
  <c r="K124" i="30"/>
  <c r="I122" i="30"/>
  <c r="I107" i="30"/>
  <c r="J107" i="30"/>
  <c r="J122" i="30"/>
  <c r="L118" i="30"/>
  <c r="L103" i="30"/>
  <c r="L120" i="30"/>
  <c r="L105" i="30"/>
  <c r="L122" i="30"/>
  <c r="L107" i="30"/>
  <c r="L124" i="30"/>
  <c r="L109" i="30"/>
  <c r="I60" i="14"/>
  <c r="I61" i="14"/>
  <c r="I103" i="30"/>
  <c r="I118" i="30"/>
  <c r="I109" i="30"/>
  <c r="I124" i="30"/>
  <c r="J105" i="30"/>
  <c r="J120" i="30"/>
  <c r="E61" i="14"/>
  <c r="E60" i="14"/>
  <c r="I119" i="30"/>
  <c r="I104" i="30"/>
  <c r="I121" i="30"/>
  <c r="I106" i="30"/>
  <c r="I123" i="30"/>
  <c r="I108" i="30"/>
  <c r="I105" i="30"/>
  <c r="I120" i="30"/>
  <c r="J103" i="30"/>
  <c r="J118" i="30"/>
  <c r="J109" i="30"/>
  <c r="J124" i="30"/>
  <c r="F60" i="14"/>
  <c r="F61" i="14"/>
  <c r="F64" i="14"/>
  <c r="J119" i="30"/>
  <c r="J104" i="30"/>
  <c r="J121" i="30"/>
  <c r="J106" i="30"/>
  <c r="J123" i="30"/>
  <c r="J108" i="30"/>
  <c r="J35" i="23"/>
  <c r="C8" i="24"/>
  <c r="G24" i="18"/>
  <c r="F25" i="18"/>
  <c r="G25" i="18" s="1"/>
  <c r="D214" i="18" s="1"/>
  <c r="C3" i="24"/>
  <c r="D60" i="14" s="1"/>
  <c r="J31" i="23"/>
  <c r="D8" i="21"/>
  <c r="E8" i="21" s="1"/>
  <c r="D7" i="21"/>
  <c r="E7" i="21" s="1"/>
  <c r="D72" i="14"/>
  <c r="K115" i="30" l="1"/>
  <c r="L100" i="30"/>
  <c r="K100" i="30"/>
  <c r="L115" i="30"/>
  <c r="J100" i="30"/>
  <c r="J115" i="30"/>
  <c r="I115" i="30"/>
  <c r="I100" i="30"/>
  <c r="N110" i="30"/>
  <c r="D201" i="18"/>
  <c r="C198" i="18"/>
  <c r="P45" i="21" s="1"/>
  <c r="N125" i="30"/>
  <c r="D64" i="14"/>
  <c r="J64" i="14" s="1"/>
  <c r="D87" i="14" s="1"/>
  <c r="D216" i="18"/>
  <c r="Q59" i="21"/>
  <c r="D225" i="18"/>
  <c r="D205" i="18"/>
  <c r="Q51" i="21" s="1"/>
  <c r="Q45" i="21"/>
  <c r="N107" i="30"/>
  <c r="N105" i="30"/>
  <c r="N119" i="30"/>
  <c r="N118" i="30"/>
  <c r="D63" i="14"/>
  <c r="N104" i="30"/>
  <c r="N122" i="30"/>
  <c r="N103" i="30"/>
  <c r="N108" i="30"/>
  <c r="N123" i="30"/>
  <c r="N120" i="30"/>
  <c r="N106" i="30"/>
  <c r="N124" i="30"/>
  <c r="D61" i="14"/>
  <c r="J61" i="14" s="1"/>
  <c r="D85" i="14" s="1"/>
  <c r="N121" i="30"/>
  <c r="N109" i="30"/>
  <c r="C4" i="2"/>
  <c r="C5" i="2"/>
  <c r="C6" i="2"/>
  <c r="C7" i="2"/>
  <c r="C8" i="2"/>
  <c r="C9" i="2"/>
  <c r="C10" i="2"/>
  <c r="C11" i="2"/>
  <c r="C12" i="2"/>
  <c r="C17" i="2"/>
  <c r="C18" i="2"/>
  <c r="C19" i="2"/>
  <c r="C20" i="2"/>
  <c r="C21" i="2"/>
  <c r="C22" i="2"/>
  <c r="C3" i="2"/>
  <c r="Q48" i="21" l="1"/>
  <c r="E201" i="18"/>
  <c r="D228" i="18"/>
  <c r="C225" i="18"/>
  <c r="P69" i="21" s="1"/>
  <c r="D219" i="18"/>
  <c r="C216" i="18"/>
  <c r="P61" i="21" s="1"/>
  <c r="D207" i="18"/>
  <c r="Q69" i="21"/>
  <c r="Q61" i="21"/>
  <c r="N100" i="30"/>
  <c r="D107" i="14"/>
  <c r="D46" i="21"/>
  <c r="D105" i="14"/>
  <c r="D44" i="21"/>
  <c r="N115" i="30"/>
  <c r="D113" i="30" s="1"/>
  <c r="D124" i="30" s="1"/>
  <c r="W1" i="1"/>
  <c r="Q64" i="21" l="1"/>
  <c r="E219" i="18"/>
  <c r="Q72" i="21"/>
  <c r="E228" i="18"/>
  <c r="D98" i="30"/>
  <c r="C207" i="18"/>
  <c r="P53" i="21" s="1"/>
  <c r="D210" i="18"/>
  <c r="D107" i="30"/>
  <c r="D117" i="30" s="1"/>
  <c r="D66" i="21"/>
  <c r="D109" i="14"/>
  <c r="D110" i="14" s="1"/>
  <c r="D184" i="18"/>
  <c r="Q53" i="21"/>
  <c r="D64" i="21"/>
  <c r="J57" i="21"/>
  <c r="J46" i="21"/>
  <c r="D84" i="28"/>
  <c r="E85" i="28" s="1"/>
  <c r="D74" i="14"/>
  <c r="D16" i="21"/>
  <c r="Q56" i="21" l="1"/>
  <c r="E210" i="18"/>
  <c r="D77" i="14"/>
  <c r="D35" i="21" s="1"/>
  <c r="D69" i="21"/>
  <c r="C109" i="14"/>
  <c r="C68" i="21" s="1"/>
  <c r="J40" i="21"/>
  <c r="D119" i="30"/>
  <c r="D120" i="30" s="1"/>
  <c r="J50" i="21"/>
  <c r="D68" i="21"/>
  <c r="D6" i="21"/>
  <c r="D111" i="14" l="1"/>
  <c r="E111" i="14" s="1"/>
  <c r="D100" i="30"/>
  <c r="J34" i="21" s="1"/>
  <c r="J53" i="21"/>
  <c r="C119" i="30"/>
  <c r="I52" i="21" s="1"/>
  <c r="J52" i="21"/>
  <c r="J66" i="14"/>
  <c r="D90" i="14" s="1"/>
  <c r="D98" i="14" s="1"/>
  <c r="D70" i="21" l="1"/>
  <c r="D121" i="30"/>
  <c r="D57" i="21"/>
  <c r="D49" i="21"/>
  <c r="J54" i="21" l="1"/>
  <c r="E121" i="30"/>
  <c r="D189" i="18" l="1"/>
  <c r="J63" i="14"/>
  <c r="D86" i="14" s="1"/>
  <c r="J60" i="14"/>
  <c r="C189" i="18" l="1"/>
  <c r="P37" i="21" s="1"/>
  <c r="D192" i="18"/>
  <c r="Q37" i="21"/>
  <c r="D97" i="14"/>
  <c r="D56" i="21" s="1"/>
  <c r="D45" i="21"/>
  <c r="D84" i="14"/>
  <c r="Q40" i="21" l="1"/>
  <c r="D19" i="21" s="1"/>
  <c r="E192" i="18"/>
  <c r="D95" i="14"/>
  <c r="D99" i="14" s="1"/>
  <c r="D100" i="14" s="1"/>
  <c r="D43" i="21"/>
  <c r="D76" i="14" l="1"/>
  <c r="D34" i="21" s="1"/>
  <c r="D101" i="14"/>
  <c r="E101" i="14" s="1"/>
  <c r="C99" i="14"/>
  <c r="D54" i="21"/>
  <c r="D58" i="21" l="1"/>
  <c r="C58" i="21"/>
  <c r="D60" i="21" l="1"/>
  <c r="D17" i="21" s="1"/>
  <c r="D59" i="21"/>
  <c r="J47" i="21" l="1"/>
  <c r="D125" i="30"/>
  <c r="J58" i="21" s="1"/>
  <c r="D126" i="30" l="1"/>
  <c r="D127" i="30" s="1"/>
  <c r="J60" i="21" s="1"/>
  <c r="AE41" i="21"/>
  <c r="D21" i="21" s="1"/>
  <c r="C126" i="30" l="1"/>
  <c r="I59" i="21" s="1"/>
  <c r="D101" i="30"/>
  <c r="J35" i="21" s="1"/>
  <c r="J59" i="21"/>
  <c r="D128" i="30"/>
  <c r="J61" i="21" l="1"/>
  <c r="E128" i="30"/>
  <c r="D18" i="21" l="1"/>
  <c r="D23" i="21" s="1"/>
  <c r="D25" i="21" s="1"/>
  <c r="D26" i="21" s="1"/>
  <c r="D28" i="21" s="1"/>
  <c r="D6" i="34" s="1"/>
  <c r="D27" i="21" l="1"/>
  <c r="E28" i="21" l="1"/>
  <c r="E27" i="21"/>
  <c r="H6" i="34"/>
</calcChain>
</file>

<file path=xl/sharedStrings.xml><?xml version="1.0" encoding="utf-8"?>
<sst xmlns="http://schemas.openxmlformats.org/spreadsheetml/2006/main" count="1442" uniqueCount="636">
  <si>
    <t>Rijwoning</t>
  </si>
  <si>
    <t>Vrijstaande 
woning</t>
  </si>
  <si>
    <t>Twee onder een kap</t>
  </si>
  <si>
    <t>Gemeente</t>
  </si>
  <si>
    <t>Gemeente:</t>
  </si>
  <si>
    <t>Aa en Hunze</t>
  </si>
  <si>
    <t>Aalsmeer</t>
  </si>
  <si>
    <t>Aalten</t>
  </si>
  <si>
    <t>Achtkarspelen</t>
  </si>
  <si>
    <t>Alblasserdam</t>
  </si>
  <si>
    <t>Albrandswaard</t>
  </si>
  <si>
    <t>Alkmaar</t>
  </si>
  <si>
    <t>Almelo</t>
  </si>
  <si>
    <t>Almere</t>
  </si>
  <si>
    <t>Alphen aan den Rijn</t>
  </si>
  <si>
    <t>Alphen-Chaam</t>
  </si>
  <si>
    <t>Altena</t>
  </si>
  <si>
    <t>Ameland</t>
  </si>
  <si>
    <t>Amersfoort</t>
  </si>
  <si>
    <t>Amstelveen</t>
  </si>
  <si>
    <t>Amsterdam</t>
  </si>
  <si>
    <t>Apeldoorn</t>
  </si>
  <si>
    <t>Arnhem</t>
  </si>
  <si>
    <t>Assen</t>
  </si>
  <si>
    <t>Asten</t>
  </si>
  <si>
    <t>Baarle-Nassau</t>
  </si>
  <si>
    <t>Baarn</t>
  </si>
  <si>
    <t>Barendrecht</t>
  </si>
  <si>
    <t>Barneveld</t>
  </si>
  <si>
    <t>Beek (L.)</t>
  </si>
  <si>
    <t>Beekdaelen</t>
  </si>
  <si>
    <t>Beesel</t>
  </si>
  <si>
    <t>Berg en Dal</t>
  </si>
  <si>
    <t>Bergeijk</t>
  </si>
  <si>
    <t>Bergen (L.)</t>
  </si>
  <si>
    <t>Bergen (NH.)</t>
  </si>
  <si>
    <t>Bergen op Zoom</t>
  </si>
  <si>
    <t>Berkelland</t>
  </si>
  <si>
    <t>Bernheze</t>
  </si>
  <si>
    <t>Best</t>
  </si>
  <si>
    <t>Beuningen</t>
  </si>
  <si>
    <t>Beverwijk</t>
  </si>
  <si>
    <t>De Bilt</t>
  </si>
  <si>
    <t>Bladel</t>
  </si>
  <si>
    <t>Blaricum</t>
  </si>
  <si>
    <t>Bloemendaal</t>
  </si>
  <si>
    <t>Bodegraven-Reeuwijk</t>
  </si>
  <si>
    <t>Boekel</t>
  </si>
  <si>
    <t>Borger-Odoorn</t>
  </si>
  <si>
    <t>Borne</t>
  </si>
  <si>
    <t>Borsele</t>
  </si>
  <si>
    <t>Boxtel</t>
  </si>
  <si>
    <t>Breda</t>
  </si>
  <si>
    <t>Bronckhorst</t>
  </si>
  <si>
    <t>Brummen</t>
  </si>
  <si>
    <t>Brunssum</t>
  </si>
  <si>
    <t>Bunnik</t>
  </si>
  <si>
    <t>Bunschoten</t>
  </si>
  <si>
    <t>Buren</t>
  </si>
  <si>
    <t>Capelle aan den IJssel</t>
  </si>
  <si>
    <t>Castricum</t>
  </si>
  <si>
    <t>Coevorden</t>
  </si>
  <si>
    <t>Cranendonck</t>
  </si>
  <si>
    <t>Culemborg</t>
  </si>
  <si>
    <t>Dalfsen</t>
  </si>
  <si>
    <t>Dantumadiel</t>
  </si>
  <si>
    <t>Delft</t>
  </si>
  <si>
    <t>Deurne</t>
  </si>
  <si>
    <t>Deventer</t>
  </si>
  <si>
    <t>Diemen</t>
  </si>
  <si>
    <t>Dijk en Waard</t>
  </si>
  <si>
    <t>Dinkelland</t>
  </si>
  <si>
    <t>Doesburg</t>
  </si>
  <si>
    <t>Doetinchem</t>
  </si>
  <si>
    <t>Dongen</t>
  </si>
  <si>
    <t>Dordrecht</t>
  </si>
  <si>
    <t>Drechterland</t>
  </si>
  <si>
    <t>Drimmelen</t>
  </si>
  <si>
    <t>Dronten</t>
  </si>
  <si>
    <t>Druten</t>
  </si>
  <si>
    <t>Duiven</t>
  </si>
  <si>
    <t>Echt-Susteren</t>
  </si>
  <si>
    <t>Edam-Volendam</t>
  </si>
  <si>
    <t>Ede</t>
  </si>
  <si>
    <t>Eemnes</t>
  </si>
  <si>
    <t>Eemsdelta</t>
  </si>
  <si>
    <t>Eersel</t>
  </si>
  <si>
    <t>Eijsden-Margraten</t>
  </si>
  <si>
    <t>Eindhoven</t>
  </si>
  <si>
    <t>Elburg</t>
  </si>
  <si>
    <t>Emmen</t>
  </si>
  <si>
    <t>Enkhuizen</t>
  </si>
  <si>
    <t>Enschede</t>
  </si>
  <si>
    <t>Epe</t>
  </si>
  <si>
    <t>Ermelo</t>
  </si>
  <si>
    <t>Etten-Leur</t>
  </si>
  <si>
    <t>De Fryske Marren</t>
  </si>
  <si>
    <t>Geertruidenberg</t>
  </si>
  <si>
    <t>Geldrop-Mierlo</t>
  </si>
  <si>
    <t>Gemert-Bakel</t>
  </si>
  <si>
    <t>Gennep</t>
  </si>
  <si>
    <t>Gilze en Rijen</t>
  </si>
  <si>
    <t>Goeree-Overflakkee</t>
  </si>
  <si>
    <t>Goes</t>
  </si>
  <si>
    <t>Goirle</t>
  </si>
  <si>
    <t>Gooise Meren</t>
  </si>
  <si>
    <t>Gorinchem</t>
  </si>
  <si>
    <t>Gouda</t>
  </si>
  <si>
    <t>Gulpen-Wittem</t>
  </si>
  <si>
    <t>Haaksbergen</t>
  </si>
  <si>
    <t>Haarlem</t>
  </si>
  <si>
    <t>Haarlemmermeer</t>
  </si>
  <si>
    <t>Halderberge</t>
  </si>
  <si>
    <t>Hardenberg</t>
  </si>
  <si>
    <t>Harderwijk</t>
  </si>
  <si>
    <t>Hardinxveld-Giessendam</t>
  </si>
  <si>
    <t>Harlingen</t>
  </si>
  <si>
    <t>Hattem</t>
  </si>
  <si>
    <t>Heemskerk</t>
  </si>
  <si>
    <t>Heemstede</t>
  </si>
  <si>
    <t>Heerde</t>
  </si>
  <si>
    <t>Heerenveen</t>
  </si>
  <si>
    <t>Heerlen</t>
  </si>
  <si>
    <t>Heeze-Leende</t>
  </si>
  <si>
    <t>Heiloo</t>
  </si>
  <si>
    <t>Den Helder</t>
  </si>
  <si>
    <t>Hellendoorn</t>
  </si>
  <si>
    <t>Helmond</t>
  </si>
  <si>
    <t>Hendrik-Ido-Ambacht</t>
  </si>
  <si>
    <t>Hengelo (O.)</t>
  </si>
  <si>
    <t>'s-Hertogenbosch</t>
  </si>
  <si>
    <t>Heumen</t>
  </si>
  <si>
    <t>Heusden</t>
  </si>
  <si>
    <t>Hillegom</t>
  </si>
  <si>
    <t>Hilvarenbeek</t>
  </si>
  <si>
    <t>Hilversum</t>
  </si>
  <si>
    <t>Hoeksche Waard</t>
  </si>
  <si>
    <t>Hof van Twente</t>
  </si>
  <si>
    <t>Het Hogeland</t>
  </si>
  <si>
    <t>Hollands Kroon</t>
  </si>
  <si>
    <t>Hoogeveen</t>
  </si>
  <si>
    <t>Hoorn</t>
  </si>
  <si>
    <t>Horst aan de Maas</t>
  </si>
  <si>
    <t>Houten</t>
  </si>
  <si>
    <t>Huizen</t>
  </si>
  <si>
    <t>Hulst</t>
  </si>
  <si>
    <t>IJsselstein</t>
  </si>
  <si>
    <t>Kaag en Braassem</t>
  </si>
  <si>
    <t>Kampen</t>
  </si>
  <si>
    <t>Kapelle</t>
  </si>
  <si>
    <t>Katwijk</t>
  </si>
  <si>
    <t>Kerkrade</t>
  </si>
  <si>
    <t>Koggenland</t>
  </si>
  <si>
    <t>Krimpen aan den IJssel</t>
  </si>
  <si>
    <t>Krimpenerwaard</t>
  </si>
  <si>
    <t>Laarbeek</t>
  </si>
  <si>
    <t>Land van Cuijk</t>
  </si>
  <si>
    <t>Landgraaf</t>
  </si>
  <si>
    <t>Landsmeer</t>
  </si>
  <si>
    <t>Lansingerland</t>
  </si>
  <si>
    <t>Laren (NH.)</t>
  </si>
  <si>
    <t>Leeuwarden</t>
  </si>
  <si>
    <t>Leiden</t>
  </si>
  <si>
    <t>Leiderdorp</t>
  </si>
  <si>
    <t>Leidschendam-Voorburg</t>
  </si>
  <si>
    <t>Lelystad</t>
  </si>
  <si>
    <t>Leudal</t>
  </si>
  <si>
    <t>Leusden</t>
  </si>
  <si>
    <t>Lingewaard</t>
  </si>
  <si>
    <t>Lisse</t>
  </si>
  <si>
    <t>Lochem</t>
  </si>
  <si>
    <t>Loon op Zand</t>
  </si>
  <si>
    <t>Lopik</t>
  </si>
  <si>
    <t>Losser</t>
  </si>
  <si>
    <t>Maasdriel</t>
  </si>
  <si>
    <t>Maasgouw</t>
  </si>
  <si>
    <t>Maashorst</t>
  </si>
  <si>
    <t>Maassluis</t>
  </si>
  <si>
    <t>Maastricht</t>
  </si>
  <si>
    <t>Medemblik</t>
  </si>
  <si>
    <t>Meerssen</t>
  </si>
  <si>
    <t>Meierijstad</t>
  </si>
  <si>
    <t>Meppel</t>
  </si>
  <si>
    <t>Middelburg (Z.)</t>
  </si>
  <si>
    <t>Midden-Delfland</t>
  </si>
  <si>
    <t>Midden-Drenthe</t>
  </si>
  <si>
    <t>Midden-Groningen</t>
  </si>
  <si>
    <t>Moerdijk</t>
  </si>
  <si>
    <t>Molenlanden</t>
  </si>
  <si>
    <t>Montferland</t>
  </si>
  <si>
    <t>Montfoort</t>
  </si>
  <si>
    <t>Mook en Middelaar</t>
  </si>
  <si>
    <t>Neder-Betuwe</t>
  </si>
  <si>
    <t>Nederweert</t>
  </si>
  <si>
    <t>Nieuwegein</t>
  </si>
  <si>
    <t>Nieuwkoop</t>
  </si>
  <si>
    <t>Nijkerk</t>
  </si>
  <si>
    <t>Nijmegen</t>
  </si>
  <si>
    <t>Nissewaard</t>
  </si>
  <si>
    <t>Noardeast-Fryslân</t>
  </si>
  <si>
    <t>Noord-Beveland</t>
  </si>
  <si>
    <t>Noordenveld</t>
  </si>
  <si>
    <t>Noordoostpolder</t>
  </si>
  <si>
    <t>Noordwijk</t>
  </si>
  <si>
    <t>Nuenen, Gerwen en Nederwetten</t>
  </si>
  <si>
    <t>Nunspeet</t>
  </si>
  <si>
    <t>Oegstgeest</t>
  </si>
  <si>
    <t>Oirschot</t>
  </si>
  <si>
    <t>Oisterwijk</t>
  </si>
  <si>
    <t>Oldambt</t>
  </si>
  <si>
    <t>Oldebroek</t>
  </si>
  <si>
    <t>Oldenzaal</t>
  </si>
  <si>
    <t>Olst-Wijhe</t>
  </si>
  <si>
    <t>Ommen</t>
  </si>
  <si>
    <t>Oost Gelre</t>
  </si>
  <si>
    <t>Oosterhout</t>
  </si>
  <si>
    <t>Ooststellingwerf</t>
  </si>
  <si>
    <t>Oostzaan</t>
  </si>
  <si>
    <t>Opmeer</t>
  </si>
  <si>
    <t>Opsterland</t>
  </si>
  <si>
    <t>Oss</t>
  </si>
  <si>
    <t>Oude IJsselstreek</t>
  </si>
  <si>
    <t>Ouder-Amstel</t>
  </si>
  <si>
    <t>Oudewater</t>
  </si>
  <si>
    <t>Overbetuwe</t>
  </si>
  <si>
    <t>Papendrecht</t>
  </si>
  <si>
    <t>Peel en Maas</t>
  </si>
  <si>
    <t>Pekela</t>
  </si>
  <si>
    <t>Pijnacker-Nootdorp</t>
  </si>
  <si>
    <t>Purmerend</t>
  </si>
  <si>
    <t>Putten</t>
  </si>
  <si>
    <t>Raalte</t>
  </si>
  <si>
    <t>Reimerswaal</t>
  </si>
  <si>
    <t>Renkum</t>
  </si>
  <si>
    <t>Renswoude</t>
  </si>
  <si>
    <t>Reusel-De Mierden</t>
  </si>
  <si>
    <t>Rheden</t>
  </si>
  <si>
    <t>Rhenen</t>
  </si>
  <si>
    <t>Ridderkerk</t>
  </si>
  <si>
    <t>Rijssen-Holten</t>
  </si>
  <si>
    <t>Rijswijk (ZH.)</t>
  </si>
  <si>
    <t>Roerdalen</t>
  </si>
  <si>
    <t>Roermond</t>
  </si>
  <si>
    <t>De Ronde Venen</t>
  </si>
  <si>
    <t>Roosendaal</t>
  </si>
  <si>
    <t>Rotterdam</t>
  </si>
  <si>
    <t>Rozendaal</t>
  </si>
  <si>
    <t>Rucphen</t>
  </si>
  <si>
    <t>Schagen</t>
  </si>
  <si>
    <t>Scherpenzeel</t>
  </si>
  <si>
    <t>Schiedam</t>
  </si>
  <si>
    <t>Schiermonnikoog</t>
  </si>
  <si>
    <t>Schouwen-Duiveland</t>
  </si>
  <si>
    <t>Simpelveld</t>
  </si>
  <si>
    <t>Sint-Michielsgestel</t>
  </si>
  <si>
    <t>Sittard-Geleen</t>
  </si>
  <si>
    <t>Sliedrecht</t>
  </si>
  <si>
    <t>Sluis</t>
  </si>
  <si>
    <t>Smallingerland</t>
  </si>
  <si>
    <t>Soest</t>
  </si>
  <si>
    <t>Someren</t>
  </si>
  <si>
    <t>Son en Breugel</t>
  </si>
  <si>
    <t>Stadskanaal</t>
  </si>
  <si>
    <t>Staphorst</t>
  </si>
  <si>
    <t>Stede Broec</t>
  </si>
  <si>
    <t>Steenbergen</t>
  </si>
  <si>
    <t>Steenwijkerland</t>
  </si>
  <si>
    <t>Stein (L.)</t>
  </si>
  <si>
    <t>Stichtse Vecht</t>
  </si>
  <si>
    <t>Súdwest-Fryslân</t>
  </si>
  <si>
    <t>Terneuzen</t>
  </si>
  <si>
    <t>Terschelling</t>
  </si>
  <si>
    <t>Texel</t>
  </si>
  <si>
    <t>Teylingen</t>
  </si>
  <si>
    <t>Tholen</t>
  </si>
  <si>
    <t>Tiel</t>
  </si>
  <si>
    <t>Tilburg</t>
  </si>
  <si>
    <t>Tubbergen</t>
  </si>
  <si>
    <t>Twenterand</t>
  </si>
  <si>
    <t>Tynaarlo</t>
  </si>
  <si>
    <t>Tytsjerksteradiel</t>
  </si>
  <si>
    <t>Uitgeest</t>
  </si>
  <si>
    <t>Uithoorn</t>
  </si>
  <si>
    <t>Urk</t>
  </si>
  <si>
    <t>Utrechtse Heuvelrug</t>
  </si>
  <si>
    <t>Vaals</t>
  </si>
  <si>
    <t>Valkenburg aan de Geul</t>
  </si>
  <si>
    <t>Valkenswaard</t>
  </si>
  <si>
    <t>Veendam</t>
  </si>
  <si>
    <t>Veenendaal</t>
  </si>
  <si>
    <t>Veere</t>
  </si>
  <si>
    <t>Veldhoven</t>
  </si>
  <si>
    <t>Velsen</t>
  </si>
  <si>
    <t>Venlo</t>
  </si>
  <si>
    <t>Venray</t>
  </si>
  <si>
    <t>Vijfheerenlanden</t>
  </si>
  <si>
    <t>Vlaardingen</t>
  </si>
  <si>
    <t>Vlieland</t>
  </si>
  <si>
    <t>Vlissingen</t>
  </si>
  <si>
    <t>Voerendaal</t>
  </si>
  <si>
    <t>Voorschoten</t>
  </si>
  <si>
    <t>Voorst</t>
  </si>
  <si>
    <t>Vught</t>
  </si>
  <si>
    <t>Waadhoeke</t>
  </si>
  <si>
    <t>Waalre</t>
  </si>
  <si>
    <t>Waalwijk</t>
  </si>
  <si>
    <t>Waddinxveen</t>
  </si>
  <si>
    <t>Wageningen</t>
  </si>
  <si>
    <t>Wassenaar</t>
  </si>
  <si>
    <t>Waterland</t>
  </si>
  <si>
    <t>Weert</t>
  </si>
  <si>
    <t>West Betuwe</t>
  </si>
  <si>
    <t>West Maas en Waal</t>
  </si>
  <si>
    <t>Westerkwartier</t>
  </si>
  <si>
    <t>Westerveld</t>
  </si>
  <si>
    <t>Westervoort</t>
  </si>
  <si>
    <t>Westerwolde</t>
  </si>
  <si>
    <t>Westland</t>
  </si>
  <si>
    <t>Weststellingwerf</t>
  </si>
  <si>
    <t>Wierden</t>
  </si>
  <si>
    <t>Wijchen</t>
  </si>
  <si>
    <t>Wijdemeren</t>
  </si>
  <si>
    <t>Wijk bij Duurstede</t>
  </si>
  <si>
    <t>Winterswijk</t>
  </si>
  <si>
    <t>Woensdrecht</t>
  </si>
  <si>
    <t>Woerden</t>
  </si>
  <si>
    <t>De Wolden</t>
  </si>
  <si>
    <t>Wormerland</t>
  </si>
  <si>
    <t>Woudenberg</t>
  </si>
  <si>
    <t>Zaanstad</t>
  </si>
  <si>
    <t>Zaltbommel</t>
  </si>
  <si>
    <t>Zandvoort</t>
  </si>
  <si>
    <t>Zeewolde</t>
  </si>
  <si>
    <t>Zeist</t>
  </si>
  <si>
    <t>Zevenaar</t>
  </si>
  <si>
    <t>Zoetermeer</t>
  </si>
  <si>
    <t>Zoeterwoude</t>
  </si>
  <si>
    <t>Zuidplas</t>
  </si>
  <si>
    <t>Zundert</t>
  </si>
  <si>
    <t>Zutphen</t>
  </si>
  <si>
    <t>Zwartewaterland</t>
  </si>
  <si>
    <t>Zwijndrecht</t>
  </si>
  <si>
    <t>Zwolle</t>
  </si>
  <si>
    <t>SF-gebied</t>
  </si>
  <si>
    <t>Aantal woningen</t>
  </si>
  <si>
    <t>Achterstallig onderhoud</t>
  </si>
  <si>
    <t>Totaal</t>
  </si>
  <si>
    <t>Cofinanciering</t>
  </si>
  <si>
    <t>Tussenwoning</t>
  </si>
  <si>
    <t>Hoekwoning</t>
  </si>
  <si>
    <t>Vrijstaande woning</t>
  </si>
  <si>
    <t>Appartement</t>
  </si>
  <si>
    <t>Spouwmuurisolatie</t>
  </si>
  <si>
    <t>Buitengevelisolatie</t>
  </si>
  <si>
    <t>Vloerisolatie</t>
  </si>
  <si>
    <t>HR++ glas in bestaande kozijnen</t>
  </si>
  <si>
    <t>Triple glas in nieuwe isolerende kozijnen</t>
  </si>
  <si>
    <t>Maatregel</t>
  </si>
  <si>
    <t xml:space="preserve">Kosten per woning </t>
  </si>
  <si>
    <t>Dakisolatie: schuin dak</t>
  </si>
  <si>
    <t>·   Tussenwoning</t>
  </si>
  <si>
    <t>·   Hoekwoning</t>
  </si>
  <si>
    <t>·   Twee onder een kap</t>
  </si>
  <si>
    <t>·   Vrijstaande woning</t>
  </si>
  <si>
    <t>Dakisolatie: plat dak</t>
  </si>
  <si>
    <t>Dakisolatie: zoldervloer</t>
  </si>
  <si>
    <t xml:space="preserve">·   Twee onder een kap </t>
  </si>
  <si>
    <t>·   Hoekwoning/ twee onder een kap</t>
  </si>
  <si>
    <t>·   Kleine vrijstaande woning</t>
  </si>
  <si>
    <t>·   Grote vrijstaande woning</t>
  </si>
  <si>
    <t>Aanvraag VHF</t>
  </si>
  <si>
    <t>Splitsen</t>
  </si>
  <si>
    <t>Samenvoegen</t>
  </si>
  <si>
    <t>Optoppen</t>
  </si>
  <si>
    <t>Uitbreiding (uitbouw met woonfunctie</t>
  </si>
  <si>
    <t>Bergingaanbouw</t>
  </si>
  <si>
    <t>Aantal m²</t>
  </si>
  <si>
    <t>Dakkapel prefab</t>
  </si>
  <si>
    <t>Dakkapel uitgetimmerd</t>
  </si>
  <si>
    <t>Kosten per m²</t>
  </si>
  <si>
    <t>Kosten totaal</t>
  </si>
  <si>
    <t>Sloop</t>
  </si>
  <si>
    <t>Nieuwbouw</t>
  </si>
  <si>
    <t>Rijtjeswoning</t>
  </si>
  <si>
    <t>Opbrengsten</t>
  </si>
  <si>
    <t>Gestapeld 
t/m 4 lagen</t>
  </si>
  <si>
    <t>Gestapeld 
5 t/m 12 lagen</t>
  </si>
  <si>
    <t>Gemiddeld aantal m² BVO per woning sloop</t>
  </si>
  <si>
    <t>Gemiddeld aantal m² BVO per woning nieuwbouw</t>
  </si>
  <si>
    <t>Ja</t>
  </si>
  <si>
    <t>Nee</t>
  </si>
  <si>
    <t>·   Appartement</t>
  </si>
  <si>
    <t>Kosten</t>
  </si>
  <si>
    <t>Kosten (totaal)</t>
  </si>
  <si>
    <t>Opbrengsten (totaal)</t>
  </si>
  <si>
    <t>Aantal woningen (totaal)</t>
  </si>
  <si>
    <t>DOORREKENING</t>
  </si>
  <si>
    <r>
      <rPr>
        <sz val="18"/>
        <color theme="1"/>
        <rFont val="Symbol"/>
        <family val="1"/>
        <charset val="2"/>
      </rPr>
      <t xml:space="preserve">¯ </t>
    </r>
    <r>
      <rPr>
        <sz val="18"/>
        <color theme="1"/>
        <rFont val="Arial"/>
        <family val="2"/>
      </rPr>
      <t>INGEVULD</t>
    </r>
  </si>
  <si>
    <r>
      <rPr>
        <sz val="18"/>
        <color theme="1"/>
        <rFont val="Symbol"/>
        <family val="1"/>
        <charset val="2"/>
      </rPr>
      <t xml:space="preserve">¯ </t>
    </r>
    <r>
      <rPr>
        <sz val="9"/>
        <color theme="1"/>
        <rFont val="Arial"/>
        <family val="2"/>
      </rPr>
      <t xml:space="preserve"> </t>
    </r>
    <r>
      <rPr>
        <sz val="18"/>
        <color theme="1"/>
        <rFont val="Arial"/>
        <family val="2"/>
      </rPr>
      <t>INVULLEN</t>
    </r>
  </si>
  <si>
    <r>
      <rPr>
        <sz val="18"/>
        <color theme="1"/>
        <rFont val="Symbol"/>
        <family val="1"/>
        <charset val="2"/>
      </rPr>
      <t xml:space="preserve">¯ </t>
    </r>
    <r>
      <rPr>
        <sz val="18"/>
        <color theme="1"/>
        <rFont val="Arial"/>
        <family val="2"/>
      </rPr>
      <t>SELECTEREN</t>
    </r>
  </si>
  <si>
    <t>Sloop-nieuwbouw</t>
  </si>
  <si>
    <t>Aanvraag</t>
  </si>
  <si>
    <t>Kenmerken</t>
  </si>
  <si>
    <t>Niet-prioritair gebied</t>
  </si>
  <si>
    <t>Amsterdam Nieuw-West</t>
  </si>
  <si>
    <t>Nieuwegein Centrale-As</t>
  </si>
  <si>
    <t>Rotterdam-Zuid</t>
  </si>
  <si>
    <t>gemeente</t>
  </si>
  <si>
    <t>Naam deelgebied:</t>
  </si>
  <si>
    <t>[selecteer]</t>
  </si>
  <si>
    <t>Type gebied</t>
  </si>
  <si>
    <t>Deelgebied</t>
  </si>
  <si>
    <t>Type gebied:</t>
  </si>
  <si>
    <t>Aantal inponden</t>
  </si>
  <si>
    <t>Sloop-Nieuwbouw</t>
  </si>
  <si>
    <t>Kengetal</t>
  </si>
  <si>
    <t>Afwijkend kengetal</t>
  </si>
  <si>
    <t>Sloop (per m² BVO)</t>
  </si>
  <si>
    <t>Toelichting</t>
  </si>
  <si>
    <t>Verduurzamingsplannen</t>
  </si>
  <si>
    <t>Dakisolatie schuin dak 
(per woning)</t>
  </si>
  <si>
    <t>Dakisolatie plat dak 
(per woning)</t>
  </si>
  <si>
    <t>Dakisolatie zoldervloer
(per woning)</t>
  </si>
  <si>
    <t>Spouwmuurisolatie
(per woning)</t>
  </si>
  <si>
    <t>Buitengevelisolatie
(per woning)</t>
  </si>
  <si>
    <t>Vloerisolatie
(per woning)</t>
  </si>
  <si>
    <t>HR++ glas in bestaande kozijnen
(per woning)</t>
  </si>
  <si>
    <t>Triple glas in nieuwe isolerende kozijnen
(per woning)</t>
  </si>
  <si>
    <t>Ingreep</t>
  </si>
  <si>
    <t>Ingreep (per m² BVO)</t>
  </si>
  <si>
    <t>Gekozen</t>
  </si>
  <si>
    <t>gekozen</t>
  </si>
  <si>
    <t>Oost-Groningen</t>
  </si>
  <si>
    <t>Het hogeland</t>
  </si>
  <si>
    <t>Midden-Limburg</t>
  </si>
  <si>
    <t>Maastricht-Mergelland</t>
  </si>
  <si>
    <t>Westelijke Mijnstreek</t>
  </si>
  <si>
    <t>Zeeuws-Vlaanderen</t>
  </si>
  <si>
    <t>Achterhoek</t>
  </si>
  <si>
    <t>Oude Ijsselstreek</t>
  </si>
  <si>
    <t>Zuid- en Oost Drenthe</t>
  </si>
  <si>
    <t>Twente</t>
  </si>
  <si>
    <t>Noord-Limburg</t>
  </si>
  <si>
    <t>Naam deelgebied invullen</t>
  </si>
  <si>
    <t>Verwachte verhuurprijs  (€ / per maand)</t>
  </si>
  <si>
    <t>Verwachte verkoopprijs nieuwbouw  (€ V.O.N.)</t>
  </si>
  <si>
    <t>Kosten (totaal €)</t>
  </si>
  <si>
    <t>Opbrengsten (totaal €)</t>
  </si>
  <si>
    <t>Toelichting plan voor transformatie</t>
  </si>
  <si>
    <t>Maatwerk woningverbeteren</t>
  </si>
  <si>
    <t>Maatwerk transformatie</t>
  </si>
  <si>
    <t>Totale aanvraag VHF</t>
  </si>
  <si>
    <t>exploitatie</t>
  </si>
  <si>
    <t>aantal woningen</t>
  </si>
  <si>
    <t>exploitatieduur (in jaren)</t>
  </si>
  <si>
    <t>Leegstand</t>
  </si>
  <si>
    <t>Jaar</t>
  </si>
  <si>
    <t>Huuropbrengst</t>
  </si>
  <si>
    <t>Indicator</t>
  </si>
  <si>
    <t>Indexering</t>
  </si>
  <si>
    <t>Huuropbrengst per maand</t>
  </si>
  <si>
    <t>Onderhoud</t>
  </si>
  <si>
    <t>Disconteringsvoet</t>
  </si>
  <si>
    <t>Beheer</t>
  </si>
  <si>
    <t>Overige lasten</t>
  </si>
  <si>
    <t>Overig</t>
  </si>
  <si>
    <t>Operationele kasstromen</t>
  </si>
  <si>
    <t>Netto contant</t>
  </si>
  <si>
    <t>TOTAAL</t>
  </si>
  <si>
    <t>Cumulatief</t>
  </si>
  <si>
    <t>NETTO CONTANTE WAARDE</t>
  </si>
  <si>
    <t>Exploitatie</t>
  </si>
  <si>
    <t>Onderhoud per woning per jaar</t>
  </si>
  <si>
    <t>Acties (totaal)</t>
  </si>
  <si>
    <t>Vloer isolatie</t>
  </si>
  <si>
    <t>Buitengevel isolatie</t>
  </si>
  <si>
    <t>Spouwmuur isolatie</t>
  </si>
  <si>
    <t>Zoldervloer isolatie</t>
  </si>
  <si>
    <t>Plat dak isolatie</t>
  </si>
  <si>
    <t>Schuin dak isolatie</t>
  </si>
  <si>
    <t>Actie:</t>
  </si>
  <si>
    <t>Particulier koop</t>
  </si>
  <si>
    <t>Particulier verhuur</t>
  </si>
  <si>
    <r>
      <t xml:space="preserve">Eigendom </t>
    </r>
    <r>
      <rPr>
        <b/>
        <sz val="18"/>
        <color theme="0"/>
        <rFont val="Symbol"/>
        <family val="1"/>
        <charset val="2"/>
      </rPr>
      <t>¯</t>
    </r>
  </si>
  <si>
    <t>Totaal
nieuwbouw</t>
  </si>
  <si>
    <t>Aantal woningen sloop</t>
  </si>
  <si>
    <t>Aantal woningen nieuwbouw</t>
  </si>
  <si>
    <t>Fasering sloop (aantal woningen)</t>
  </si>
  <si>
    <t>Kosten nieuwbouw particulier koop</t>
  </si>
  <si>
    <t>Kosten nieuwbouw particulier verhuur</t>
  </si>
  <si>
    <t>Opbrengst particuliere verhuur (50 jaar exploiteren)</t>
  </si>
  <si>
    <t>Opbrengst particuliere koopwoning</t>
  </si>
  <si>
    <t>Sloop particuliere koop</t>
  </si>
  <si>
    <t>Kosten sloop particuliere koop</t>
  </si>
  <si>
    <t>Kosten sloop particuliere verhuur</t>
  </si>
  <si>
    <t>Sloop particuliere verhuur</t>
  </si>
  <si>
    <t>Nieuwbouw particuliere koop</t>
  </si>
  <si>
    <t>Nieuwbouw particuliere verhuur</t>
  </si>
  <si>
    <t>Particuliere koopwoning</t>
  </si>
  <si>
    <t>Particuliere verhuur (50 jaar exploiteren)</t>
  </si>
  <si>
    <t>Kosten sloop</t>
  </si>
  <si>
    <t>Aantal woningen particuliere koop sloop</t>
  </si>
  <si>
    <t>Aantal woningen particuliere verhuur sloop</t>
  </si>
  <si>
    <t>Opbrengsten particuliere verhuur (50 jaar exploiteren)</t>
  </si>
  <si>
    <t xml:space="preserve">Aantal woningen particuliere verhuur nieuwbouw </t>
  </si>
  <si>
    <t>Kosten nieuwbouw particuliere verhuur</t>
  </si>
  <si>
    <t>Aantal woningen particuliere koop nieuwbouw</t>
  </si>
  <si>
    <t>Kosten nieuwbouw particuliere koop</t>
  </si>
  <si>
    <t>Opbrengsten particuliere koop</t>
  </si>
  <si>
    <t>Particuliere koop</t>
  </si>
  <si>
    <t>Particuliere verhuur</t>
  </si>
  <si>
    <t>Aantal woningen aanpakken</t>
  </si>
  <si>
    <t>Fasering van de ingrepen (elke ingreep telt als 1, ook als het dezelfde woning betreft)</t>
  </si>
  <si>
    <t>Totaal aantal koopwoningen aanpakken
(reken per woning, ook als meerdere ingrepen worden gedaan)</t>
  </si>
  <si>
    <t>Totaal aantal huurwoningen aanpakken
(reken per woning, ook als er meerdere ingrepen worden gedaan)</t>
  </si>
  <si>
    <t>Verduurzamingsacties PARTICULIERE KOOP</t>
  </si>
  <si>
    <t>Ingrepen (totaal)</t>
  </si>
  <si>
    <t>Aantal woningen aanpakken particuliere koop</t>
  </si>
  <si>
    <t>Aantal woningen aanpakken particuliere verhuur</t>
  </si>
  <si>
    <t>Verduurzamingsacties PARTICULIERE VERHUUR</t>
  </si>
  <si>
    <t>Toelichting waardestijging particuliere koop</t>
  </si>
  <si>
    <t>Bijdrage particuliere koop</t>
  </si>
  <si>
    <t>Bijdrage particuliere verhuur</t>
  </si>
  <si>
    <t>Verduurzamen</t>
  </si>
  <si>
    <t>Ingreep?</t>
  </si>
  <si>
    <t>Zie tabblad 'Maatwerk woningverbeteren'</t>
  </si>
  <si>
    <t>Zie tabblad 
'Maatwerk woningverbeteren'</t>
  </si>
  <si>
    <t>Uitbreiding (uitbouw met woonfunctie)</t>
  </si>
  <si>
    <t>Woningverbeteren</t>
  </si>
  <si>
    <t>Bijdrage particuliere verhuur (€)</t>
  </si>
  <si>
    <t>Bijdrage particuliere koop (€)</t>
  </si>
  <si>
    <t>Toelichting plan voor splitsen (inclusief toelichting op de kosten)</t>
  </si>
  <si>
    <t>Bijdrage 
particuliere koop (€)</t>
  </si>
  <si>
    <t>Bijdrage 
particuliere verhuur (€)</t>
  </si>
  <si>
    <t>Opbrengsten
(€)</t>
  </si>
  <si>
    <t>INVULLEN (leeg laten als n.v.t.)</t>
  </si>
  <si>
    <t>Cofinanciering gemeente</t>
  </si>
  <si>
    <t>Berging aanbouw</t>
  </si>
  <si>
    <t>Plannen voor sloop</t>
  </si>
  <si>
    <t>Plannen voor nieuwbouw</t>
  </si>
  <si>
    <t>Financieringsbijdrage</t>
  </si>
  <si>
    <t>Verwachte verkoopprijs nieuwbouw</t>
  </si>
  <si>
    <t>Verwachte verhuurprijs nieuwbouw (p/m)</t>
  </si>
  <si>
    <t>Fasering sloop</t>
  </si>
  <si>
    <t>Ingrepen</t>
  </si>
  <si>
    <t>Fasering</t>
  </si>
  <si>
    <t>Aantal won. en verwachte waardestijging</t>
  </si>
  <si>
    <t>% Kosten proces, openbare ruimte en maatschappelijke voorzieningen</t>
  </si>
  <si>
    <t>Btw</t>
  </si>
  <si>
    <t>Toelichting btw</t>
  </si>
  <si>
    <t>Maximum bedrag aanvraag (totaal van alle aanvragen per gemeente)</t>
  </si>
  <si>
    <t>Inponden</t>
  </si>
  <si>
    <t>Inponden van woningen</t>
  </si>
  <si>
    <t>Eigendom</t>
  </si>
  <si>
    <t>Woningcorporatie</t>
  </si>
  <si>
    <t>Aantal woningen inponden (inclusief te slopen bezit)</t>
  </si>
  <si>
    <t>Overige partijen (particulieren, institutionele beleggers etc.)</t>
  </si>
  <si>
    <t>WOZ-waarde</t>
  </si>
  <si>
    <t>Aankoopprijs incl kosten</t>
  </si>
  <si>
    <t>Kosten inponden (obv aankoopprijs en aankoopkosten)</t>
  </si>
  <si>
    <t>Totale (verwachte) aankoopprijs inclusief aankoopkosten</t>
  </si>
  <si>
    <t>Waarde inponden (obv WOZ)</t>
  </si>
  <si>
    <t>Opbrengsten totaal</t>
  </si>
  <si>
    <t>Doorrekeningen</t>
  </si>
  <si>
    <t>Bijdrage Gemeente (€)</t>
  </si>
  <si>
    <t>Bijdrage Woningcorporatie (€)</t>
  </si>
  <si>
    <t>Bijdrage Overige partijen (€)</t>
  </si>
  <si>
    <t>Toelichting plan voor inponden</t>
  </si>
  <si>
    <t>Gemiddelde (verwachte) aankoopprijs inclusief aankoopkosten zoals advies, participatie, verhuiskostenregeling</t>
  </si>
  <si>
    <t>Totaal
sloop</t>
  </si>
  <si>
    <t>VUL OOK HET AANTAL M2 PER WONING IN!</t>
  </si>
  <si>
    <t>Toelichting plan voor achterstallig onderhoud (inclusief toelichting op de kosten)</t>
  </si>
  <si>
    <t>Toelichting plan voor samenvoegen (inclusief toelichting op de kosten)</t>
  </si>
  <si>
    <t>Financieel tekort VHF</t>
  </si>
  <si>
    <t>Financieel tekort PARTICULIERE KOOP</t>
  </si>
  <si>
    <t>Financieel tekort PARTICULIERE VERHUUR</t>
  </si>
  <si>
    <t>Financieel tekort</t>
  </si>
  <si>
    <t>Nieuwbouw (per m² BVO)</t>
  </si>
  <si>
    <t>Projectnaam/programmanaam</t>
  </si>
  <si>
    <t>Financieringsbijdrage (in €)</t>
  </si>
  <si>
    <t>Fasering nieuwbouw (realisatie)</t>
  </si>
  <si>
    <t>Fasering nieuwbouw (realisatie) (aantal woningen)</t>
  </si>
  <si>
    <t>VUL NAAM DEELGEBIED IN, ZIE TABBLAD START</t>
  </si>
  <si>
    <t>Gestapeld 13 of meer lagen</t>
  </si>
  <si>
    <t>Gestapeld
13 of meer lagen</t>
  </si>
  <si>
    <t>Grensregio</t>
  </si>
  <si>
    <t>Stedelijk Focus-gebied</t>
  </si>
  <si>
    <t>Leeuwarden-Oost</t>
  </si>
  <si>
    <t>Groningen-Noord</t>
  </si>
  <si>
    <t>Arnhem-Oost</t>
  </si>
  <si>
    <t>Heerlen-Noord</t>
  </si>
  <si>
    <t>Breda-Noord</t>
  </si>
  <si>
    <t>Eindhoven Woensel-Zuid</t>
  </si>
  <si>
    <t>Tilburg-Noordwest</t>
  </si>
  <si>
    <t>Schiedam Nieuwland-Oost</t>
  </si>
  <si>
    <t>Den Haag-Zuidwest</t>
  </si>
  <si>
    <t>Amsterdam-Zuidoost</t>
  </si>
  <si>
    <t>Zaandam-Oost</t>
  </si>
  <si>
    <t>Lelystad-Oost</t>
  </si>
  <si>
    <t>Utrecht-Overvecht</t>
  </si>
  <si>
    <t>Delft-West</t>
  </si>
  <si>
    <t>Dordrecht-West</t>
  </si>
  <si>
    <t>Roosendaal-Ring</t>
  </si>
  <si>
    <t>Noord-Friesland</t>
  </si>
  <si>
    <t>'s-Gravenhage (gemeente)</t>
  </si>
  <si>
    <t>Groningen (gemeente)</t>
  </si>
  <si>
    <t>Utrecht (gemeente)</t>
  </si>
  <si>
    <t>Voorne aan Zee</t>
  </si>
  <si>
    <t>Parkstad Limburg</t>
  </si>
  <si>
    <t>Vlaardingen-West</t>
  </si>
  <si>
    <t>Financieel tekort primaire activiteiten</t>
  </si>
  <si>
    <t>Financieel tekort secundaire activiteiten</t>
  </si>
  <si>
    <t>Totaal financieel tekort (primaire + secundaire activiteiten)</t>
  </si>
  <si>
    <t>Tekort secundaire activiteiten (=proceskosten, openbare ruimte, maatschappelijke voorzieningen)</t>
  </si>
  <si>
    <t>Controle: % van de aanvraag bij VHF, kan maximaal 30% bedragen</t>
  </si>
  <si>
    <t>Financieel tekort voor proceskosten, openbare ruimte en voor maatschappelijke voorzieningen</t>
  </si>
  <si>
    <t>% Stichtingskosten kengetallen (=aanneemsom + BIJKOMENDE KOSTEN OVER ALLE KENGETALLEN)</t>
  </si>
  <si>
    <t>Overige verduurzamingsmaatregelen</t>
  </si>
  <si>
    <t>Overige verduurzamingsmaatregelen
(per woning)</t>
  </si>
  <si>
    <t>LET OP: ALLEEN WAARDE INVULLEN ALS DIT HET PUBLIEKE TEKORT VERMINDERT (=bezit van gemeente stijgt in waarde), ANDERS EEN MOGELIJKE BIJDRAGE INVULLEN VAN PARTICULIER IN CEL D13</t>
  </si>
  <si>
    <t>LET OP: ALLEEN OPBRENGST INVULLEN INDIEN OPBRENGST HET PUBLIEKE TEKORT VERKLEINT (=OPRBENGST VOOR GEMEENTE) ANDERS BIJDRAGE INVULLEN INDIEN VAN TOEPASSING</t>
  </si>
  <si>
    <t>Toelichting overige verduurzamingsmaatregelen</t>
  </si>
  <si>
    <t>Btw-bedrag dat door gemeente terugontvangen kan worden (in €)</t>
  </si>
  <si>
    <t>Wat is het bedrag aan btw dat door de gemeente teruggevraagd kan worden?</t>
  </si>
  <si>
    <t>Huurderving door leegstand</t>
  </si>
  <si>
    <t>Toelichting op de waardestijging of huurstijging</t>
  </si>
  <si>
    <r>
      <rPr>
        <b/>
        <sz val="16"/>
        <rFont val="Arial"/>
        <family val="2"/>
      </rPr>
      <t xml:space="preserve">Gemiddelde </t>
    </r>
    <r>
      <rPr>
        <sz val="16"/>
        <rFont val="Arial"/>
        <family val="2"/>
      </rPr>
      <t>waardestijging 
per woning door de verduurzamingsplannen</t>
    </r>
  </si>
  <si>
    <t>Toelichting waardestijging particuliere verhuur</t>
  </si>
  <si>
    <t>Het waardeverlies als gevolg van de sloop kan meegenomen worden in de sloopkosten. Dit kunt u handmatig aanpassen op het tabblad KENGETALLEN. Het waardeverlies kan bestaan uit (een deel van) de volledige boekwaarde/WOZ-waarde. Reken de restwaarde van de grond niet mee bij het waardeverlies.</t>
  </si>
  <si>
    <t>Het waardeverlies als gevolg van de sloop kan meegenomen worden in de sloopkosten. Pas dit handmatig aan. Het waardeverlies kan bestaan uit (een deel van) de volledige boekwaarde/WOZ-waarde. Reken de restwaarde van de grond niet mee bij het waardeverlies.</t>
  </si>
  <si>
    <t>Per 1-1-2024</t>
  </si>
  <si>
    <t>Gemiddelde verwachte WOZ-waarde woningen (peildatum 1-1-2023)</t>
  </si>
  <si>
    <t>Gemiddelde verwachte aankoopprijs inclusief aankoopkosten (peildatum 1-7-2024)</t>
  </si>
  <si>
    <t>Gemiddelde (verwachte) marktwaarde (=WOZ-waarde (peildatum 1-1-2023) bij onverhuurde staat en = 75% van de WOZ bij verhuurde staat)</t>
  </si>
  <si>
    <t>LET OP: ALLEEN WAARDE INVULLEN ALS DIT HET PUBLIEKE TEKORT VERMINDERT (=bezit van gemeente stijgt in waarde), ANDERS EEN MOGELIJKE BIJDRAGE INVULLEN VAN PARTICULIER IN CEL D14</t>
  </si>
  <si>
    <r>
      <rPr>
        <b/>
        <sz val="16"/>
        <color theme="1"/>
        <rFont val="Arial"/>
        <family val="2"/>
      </rPr>
      <t xml:space="preserve">De berekeningen in dit model zijn </t>
    </r>
    <r>
      <rPr>
        <b/>
        <i/>
        <sz val="16"/>
        <color rgb="FFFF0000"/>
        <rFont val="Arial"/>
        <family val="2"/>
      </rPr>
      <t>nominaal</t>
    </r>
    <r>
      <rPr>
        <b/>
        <i/>
        <sz val="16"/>
        <color theme="1"/>
        <rFont val="Arial"/>
        <family val="2"/>
      </rPr>
      <t>.</t>
    </r>
    <r>
      <rPr>
        <sz val="16"/>
        <color theme="1"/>
        <rFont val="Arial"/>
        <family val="2"/>
      </rPr>
      <t xml:space="preserve">
onderstaande kengetallen voor sloop-nieuwbouw en woningverbetering zijn gebaseerd op cijfers uit het Bouwkostenkompas (peildatum: 1 april 2024).
</t>
    </r>
    <r>
      <rPr>
        <b/>
        <sz val="16"/>
        <color theme="1"/>
        <rFont val="Arial"/>
        <family val="2"/>
      </rPr>
      <t>https://www.bouwkostenkompas.nl/</t>
    </r>
    <r>
      <rPr>
        <sz val="16"/>
        <color theme="1"/>
        <rFont val="Arial"/>
        <family val="2"/>
      </rPr>
      <t xml:space="preserve">
onderstaande kengetallen voor verduurzamingsplannen zijn gebaseerd op cijfers van Milieucentraal. (geraadpleegd begin mei 2024).
</t>
    </r>
    <r>
      <rPr>
        <b/>
        <sz val="16"/>
        <color theme="1"/>
        <rFont val="Arial"/>
        <family val="2"/>
      </rPr>
      <t>www.milieucentraal.nl/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</si>
</sst>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€&quot;\ #,##0;[Red]&quot;€&quot;\ \-#,##0"/>
    <numFmt numFmtId="8" formatCode="&quot;€&quot;\ #,##0.00;[Red]&quot;€&quot;\ \-#,##0.00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&quot;€&quot;\ #,##0.00"/>
    <numFmt numFmtId="165" formatCode="&quot;€&quot;\ #,##0"/>
    <numFmt numFmtId="166" formatCode="_ &quot;€&quot;\ * #,##0_ ;_ &quot;€&quot;\ * \-#,##0_ ;_ &quot;€&quot;\ * &quot;-&quot;??_ ;_ @_ "/>
    <numFmt numFmtId="167" formatCode="_-[$€]\ * #,##0.00_-;_-[$€]\ * #,##0.00\-;_-[$€]\ * &quot;-&quot;??_-;_-@_-"/>
    <numFmt numFmtId="168" formatCode="_-* #,##0.00_-;_-* #,##0.00\-;_-* &quot;-&quot;??_-;_-@_-"/>
    <numFmt numFmtId="169" formatCode="_-* #,##0_-;_-* #,##0\-;_-* &quot;-&quot;??_-;_-@_-"/>
    <numFmt numFmtId="170" formatCode="_ * #,##0_ ;_ * \-#,##0_ ;_ * &quot;-&quot;??_ ;_ @_ "/>
    <numFmt numFmtId="171" formatCode="_ [$€-413]\ * #,##0.00_ ;_ [$€-413]\ * \-#,##0.00_ ;_ [$€-413]\ * &quot;-&quot;??_ ;_ @_ "/>
  </numFmts>
  <fonts count="44">
    <font>
      <sz val="9"/>
      <color theme="1"/>
      <name val="Univers LT Pro 55"/>
      <family val="2"/>
    </font>
    <font>
      <b/>
      <sz val="9"/>
      <color theme="1"/>
      <name val="Univers LT Pro 55"/>
      <family val="2"/>
    </font>
    <font>
      <sz val="9"/>
      <color theme="0"/>
      <name val="Univers LT Pro 55"/>
      <family val="2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9"/>
      <color theme="1"/>
      <name val="Arial"/>
      <family val="2"/>
    </font>
    <font>
      <b/>
      <sz val="18"/>
      <color theme="1"/>
      <name val="Arial"/>
      <family val="2"/>
    </font>
    <font>
      <sz val="18"/>
      <color rgb="FFFF0000"/>
      <name val="Arial"/>
      <family val="2"/>
    </font>
    <font>
      <sz val="9"/>
      <color rgb="FFFF0000"/>
      <name val="Univers LT Pro 55"/>
      <family val="2"/>
    </font>
    <font>
      <sz val="14"/>
      <color rgb="FFFF0000"/>
      <name val="Arial"/>
      <family val="2"/>
    </font>
    <font>
      <sz val="20"/>
      <color theme="1"/>
      <name val="Arial"/>
      <family val="2"/>
    </font>
    <font>
      <sz val="16"/>
      <color theme="1"/>
      <name val="Arial"/>
      <family val="2"/>
    </font>
    <font>
      <sz val="16"/>
      <name val="Arial"/>
      <family val="2"/>
    </font>
    <font>
      <sz val="16"/>
      <color theme="1"/>
      <name val="Univers LT Pro 55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Univers LT Pro 55"/>
      <family val="2"/>
    </font>
    <font>
      <sz val="18"/>
      <color theme="1"/>
      <name val="Arial"/>
      <family val="2"/>
    </font>
    <font>
      <b/>
      <sz val="20"/>
      <name val="Arial"/>
      <family val="2"/>
    </font>
    <font>
      <sz val="18"/>
      <color theme="1"/>
      <name val="Symbol"/>
      <family val="1"/>
      <charset val="2"/>
    </font>
    <font>
      <sz val="18"/>
      <color theme="1"/>
      <name val="Arial"/>
      <family val="1"/>
      <charset val="2"/>
    </font>
    <font>
      <sz val="16"/>
      <color rgb="FFFF0000"/>
      <name val="Arial"/>
      <family val="2"/>
    </font>
    <font>
      <sz val="18"/>
      <color rgb="FFFF0000"/>
      <name val="Univers LT Pro 55"/>
      <family val="2"/>
    </font>
    <font>
      <b/>
      <sz val="18"/>
      <name val="Arial"/>
      <family val="2"/>
    </font>
    <font>
      <sz val="11"/>
      <color theme="1"/>
      <name val="Univers"/>
      <family val="2"/>
    </font>
    <font>
      <b/>
      <sz val="11"/>
      <color theme="1"/>
      <name val="Univers"/>
      <family val="2"/>
    </font>
    <font>
      <sz val="12"/>
      <color theme="1"/>
      <name val="Arial"/>
      <family val="2"/>
    </font>
    <font>
      <sz val="12"/>
      <color theme="5"/>
      <name val="Arial"/>
      <family val="2"/>
    </font>
    <font>
      <b/>
      <sz val="12"/>
      <name val="Arial"/>
      <family val="2"/>
    </font>
    <font>
      <b/>
      <sz val="18"/>
      <color theme="0"/>
      <name val="Arial"/>
      <family val="2"/>
    </font>
    <font>
      <b/>
      <sz val="18"/>
      <color theme="0"/>
      <name val="Symbol"/>
      <family val="1"/>
      <charset val="2"/>
    </font>
    <font>
      <sz val="9"/>
      <color theme="1"/>
      <name val="Univers LT Pro 55"/>
      <family val="2"/>
    </font>
    <font>
      <b/>
      <sz val="24"/>
      <name val="Univers"/>
      <family val="2"/>
    </font>
    <font>
      <b/>
      <sz val="20"/>
      <name val="Univers"/>
      <family val="2"/>
    </font>
    <font>
      <b/>
      <sz val="11"/>
      <color theme="1"/>
      <name val="Calibri"/>
      <family val="2"/>
      <scheme val="minor"/>
    </font>
    <font>
      <sz val="14"/>
      <color theme="1"/>
      <name val="Univers LT Pro 55"/>
      <family val="2"/>
    </font>
    <font>
      <b/>
      <i/>
      <sz val="16"/>
      <color theme="1"/>
      <name val="Arial"/>
      <family val="2"/>
    </font>
    <font>
      <b/>
      <i/>
      <sz val="16"/>
      <color rgb="FFFF0000"/>
      <name val="Arial"/>
      <family val="2"/>
    </font>
    <font>
      <sz val="24"/>
      <color theme="1"/>
      <name val="Calibri"/>
      <family val="2"/>
      <scheme val="minor"/>
    </font>
    <font>
      <sz val="8"/>
      <color rgb="FF1E1E1E"/>
      <name val="Segoe UI"/>
      <family val="2"/>
    </font>
    <font>
      <sz val="18"/>
      <color theme="1"/>
      <name val="Univers LT Pro 55"/>
      <family val="2"/>
    </font>
    <font>
      <sz val="24"/>
      <color theme="1"/>
      <name val="Univers LT Pro 55"/>
      <family val="2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3" fillId="0" borderId="0"/>
    <xf numFmtId="167" fontId="26" fillId="0" borderId="0"/>
    <xf numFmtId="168" fontId="26" fillId="0" borderId="0" applyFont="0" applyFill="0" applyBorder="0" applyAlignment="0" applyProtection="0"/>
    <xf numFmtId="9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33" fillId="0" borderId="0" applyFont="0" applyFill="0" applyBorder="0" applyAlignment="0" applyProtection="0"/>
  </cellStyleXfs>
  <cellXfs count="477">
    <xf numFmtId="0" fontId="0" fillId="0" borderId="0" xfId="0"/>
    <xf numFmtId="0" fontId="0" fillId="2" borderId="0" xfId="0" applyFill="1"/>
    <xf numFmtId="0" fontId="1" fillId="0" borderId="0" xfId="0" applyFont="1"/>
    <xf numFmtId="0" fontId="0" fillId="0" borderId="0" xfId="0" quotePrefix="1"/>
    <xf numFmtId="0" fontId="2" fillId="2" borderId="0" xfId="0" applyFont="1" applyFill="1"/>
    <xf numFmtId="0" fontId="5" fillId="2" borderId="0" xfId="0" applyFont="1" applyFill="1"/>
    <xf numFmtId="0" fontId="4" fillId="2" borderId="0" xfId="0" applyFont="1" applyFill="1" applyAlignment="1">
      <alignment horizontal="center" vertical="center"/>
    </xf>
    <xf numFmtId="0" fontId="8" fillId="2" borderId="0" xfId="0" applyFont="1" applyFill="1"/>
    <xf numFmtId="0" fontId="9" fillId="2" borderId="0" xfId="0" applyFont="1" applyFill="1"/>
    <xf numFmtId="0" fontId="10" fillId="2" borderId="0" xfId="0" applyFont="1" applyFill="1"/>
    <xf numFmtId="0" fontId="0" fillId="2" borderId="12" xfId="0" applyFill="1" applyBorder="1"/>
    <xf numFmtId="0" fontId="13" fillId="2" borderId="5" xfId="1" applyFont="1" applyFill="1" applyBorder="1" applyAlignment="1" applyProtection="1">
      <alignment horizontal="center" vertical="center" wrapText="1"/>
      <protection hidden="1"/>
    </xf>
    <xf numFmtId="0" fontId="14" fillId="19" borderId="5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/>
    </xf>
    <xf numFmtId="0" fontId="0" fillId="2" borderId="19" xfId="0" applyFill="1" applyBorder="1"/>
    <xf numFmtId="0" fontId="0" fillId="2" borderId="18" xfId="0" applyFill="1" applyBorder="1"/>
    <xf numFmtId="0" fontId="0" fillId="2" borderId="20" xfId="0" applyFill="1" applyBorder="1"/>
    <xf numFmtId="0" fontId="0" fillId="2" borderId="21" xfId="0" applyFill="1" applyBorder="1"/>
    <xf numFmtId="0" fontId="0" fillId="2" borderId="22" xfId="0" applyFill="1" applyBorder="1"/>
    <xf numFmtId="0" fontId="7" fillId="11" borderId="5" xfId="0" applyFont="1" applyFill="1" applyBorder="1" applyAlignment="1">
      <alignment horizontal="left" vertical="center"/>
    </xf>
    <xf numFmtId="0" fontId="7" fillId="21" borderId="5" xfId="0" applyFont="1" applyFill="1" applyBorder="1" applyAlignment="1">
      <alignment horizontal="right" vertical="center" wrapText="1"/>
    </xf>
    <xf numFmtId="0" fontId="7" fillId="21" borderId="5" xfId="0" applyFont="1" applyFill="1" applyBorder="1" applyAlignment="1">
      <alignment horizontal="right" vertical="center"/>
    </xf>
    <xf numFmtId="9" fontId="7" fillId="21" borderId="5" xfId="0" applyNumberFormat="1" applyFont="1" applyFill="1" applyBorder="1" applyAlignment="1">
      <alignment horizontal="right" vertical="center"/>
    </xf>
    <xf numFmtId="165" fontId="7" fillId="5" borderId="5" xfId="0" applyNumberFormat="1" applyFont="1" applyFill="1" applyBorder="1" applyAlignment="1">
      <alignment vertical="center"/>
    </xf>
    <xf numFmtId="165" fontId="7" fillId="8" borderId="5" xfId="0" applyNumberFormat="1" applyFont="1" applyFill="1" applyBorder="1" applyAlignment="1">
      <alignment vertical="center"/>
    </xf>
    <xf numFmtId="3" fontId="19" fillId="2" borderId="3" xfId="0" applyNumberFormat="1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165" fontId="19" fillId="2" borderId="3" xfId="0" applyNumberFormat="1" applyFont="1" applyFill="1" applyBorder="1" applyAlignment="1">
      <alignment horizontal="center" vertical="center"/>
    </xf>
    <xf numFmtId="165" fontId="19" fillId="2" borderId="4" xfId="0" applyNumberFormat="1" applyFont="1" applyFill="1" applyBorder="1" applyAlignment="1">
      <alignment horizontal="center" vertical="center"/>
    </xf>
    <xf numFmtId="0" fontId="0" fillId="2" borderId="16" xfId="0" applyFill="1" applyBorder="1"/>
    <xf numFmtId="0" fontId="0" fillId="2" borderId="17" xfId="0" applyFill="1" applyBorder="1"/>
    <xf numFmtId="3" fontId="7" fillId="21" borderId="5" xfId="0" applyNumberFormat="1" applyFont="1" applyFill="1" applyBorder="1" applyAlignment="1">
      <alignment horizontal="right" vertical="center" wrapText="1"/>
    </xf>
    <xf numFmtId="165" fontId="7" fillId="2" borderId="5" xfId="0" applyNumberFormat="1" applyFont="1" applyFill="1" applyBorder="1" applyAlignment="1">
      <alignment vertical="center"/>
    </xf>
    <xf numFmtId="165" fontId="7" fillId="24" borderId="5" xfId="0" applyNumberFormat="1" applyFont="1" applyFill="1" applyBorder="1" applyAlignment="1">
      <alignment vertical="center"/>
    </xf>
    <xf numFmtId="0" fontId="11" fillId="2" borderId="5" xfId="0" applyFont="1" applyFill="1" applyBorder="1" applyAlignment="1">
      <alignment wrapText="1"/>
    </xf>
    <xf numFmtId="165" fontId="11" fillId="17" borderId="5" xfId="0" applyNumberFormat="1" applyFont="1" applyFill="1" applyBorder="1"/>
    <xf numFmtId="0" fontId="20" fillId="11" borderId="1" xfId="1" applyFont="1" applyFill="1" applyBorder="1" applyAlignment="1" applyProtection="1">
      <alignment vertical="center"/>
      <protection hidden="1"/>
    </xf>
    <xf numFmtId="0" fontId="20" fillId="11" borderId="5" xfId="1" applyFont="1" applyFill="1" applyBorder="1" applyAlignment="1" applyProtection="1">
      <alignment horizontal="center" vertical="center"/>
      <protection hidden="1"/>
    </xf>
    <xf numFmtId="0" fontId="20" fillId="11" borderId="1" xfId="1" applyFont="1" applyFill="1" applyBorder="1" applyAlignment="1" applyProtection="1">
      <alignment horizontal="center" vertical="center"/>
      <protection hidden="1"/>
    </xf>
    <xf numFmtId="0" fontId="22" fillId="4" borderId="5" xfId="0" applyFont="1" applyFill="1" applyBorder="1" applyAlignment="1">
      <alignment horizontal="left" vertical="center"/>
    </xf>
    <xf numFmtId="0" fontId="22" fillId="7" borderId="5" xfId="0" applyFont="1" applyFill="1" applyBorder="1" applyAlignment="1">
      <alignment horizontal="left" vertical="center"/>
    </xf>
    <xf numFmtId="0" fontId="22" fillId="22" borderId="5" xfId="0" applyFont="1" applyFill="1" applyBorder="1" applyAlignment="1">
      <alignment horizontal="left"/>
    </xf>
    <xf numFmtId="0" fontId="0" fillId="2" borderId="3" xfId="0" applyFill="1" applyBorder="1"/>
    <xf numFmtId="0" fontId="0" fillId="2" borderId="8" xfId="0" applyFill="1" applyBorder="1"/>
    <xf numFmtId="0" fontId="0" fillId="2" borderId="6" xfId="0" applyFill="1" applyBorder="1"/>
    <xf numFmtId="0" fontId="0" fillId="2" borderId="9" xfId="0" applyFill="1" applyBorder="1"/>
    <xf numFmtId="0" fontId="0" fillId="2" borderId="4" xfId="0" applyFill="1" applyBorder="1"/>
    <xf numFmtId="0" fontId="7" fillId="11" borderId="5" xfId="0" applyFont="1" applyFill="1" applyBorder="1" applyAlignment="1">
      <alignment horizontal="left" vertical="center" wrapText="1"/>
    </xf>
    <xf numFmtId="1" fontId="7" fillId="24" borderId="5" xfId="0" applyNumberFormat="1" applyFont="1" applyFill="1" applyBorder="1" applyAlignment="1">
      <alignment vertical="center"/>
    </xf>
    <xf numFmtId="0" fontId="19" fillId="11" borderId="5" xfId="0" applyFont="1" applyFill="1" applyBorder="1" applyAlignment="1">
      <alignment horizontal="left" vertical="center"/>
    </xf>
    <xf numFmtId="164" fontId="7" fillId="21" borderId="5" xfId="0" applyNumberFormat="1" applyFont="1" applyFill="1" applyBorder="1" applyAlignment="1">
      <alignment horizontal="right" vertical="center" wrapText="1"/>
    </xf>
    <xf numFmtId="165" fontId="7" fillId="21" borderId="5" xfId="0" applyNumberFormat="1" applyFont="1" applyFill="1" applyBorder="1" applyAlignment="1">
      <alignment horizontal="right" vertical="center" wrapText="1"/>
    </xf>
    <xf numFmtId="0" fontId="19" fillId="2" borderId="0" xfId="0" applyFont="1" applyFill="1"/>
    <xf numFmtId="0" fontId="0" fillId="2" borderId="15" xfId="0" applyFill="1" applyBorder="1"/>
    <xf numFmtId="0" fontId="0" fillId="2" borderId="5" xfId="0" applyFill="1" applyBorder="1"/>
    <xf numFmtId="6" fontId="0" fillId="2" borderId="5" xfId="0" applyNumberFormat="1" applyFill="1" applyBorder="1"/>
    <xf numFmtId="0" fontId="1" fillId="2" borderId="26" xfId="0" applyFont="1" applyFill="1" applyBorder="1"/>
    <xf numFmtId="0" fontId="0" fillId="2" borderId="27" xfId="0" applyFill="1" applyBorder="1"/>
    <xf numFmtId="0" fontId="0" fillId="0" borderId="27" xfId="0" applyBorder="1"/>
    <xf numFmtId="0" fontId="0" fillId="0" borderId="28" xfId="0" applyBorder="1"/>
    <xf numFmtId="0" fontId="0" fillId="2" borderId="29" xfId="0" applyFill="1" applyBorder="1"/>
    <xf numFmtId="6" fontId="0" fillId="4" borderId="30" xfId="0" applyNumberFormat="1" applyFill="1" applyBorder="1"/>
    <xf numFmtId="0" fontId="0" fillId="2" borderId="30" xfId="0" applyFill="1" applyBorder="1"/>
    <xf numFmtId="0" fontId="1" fillId="2" borderId="29" xfId="0" applyFont="1" applyFill="1" applyBorder="1"/>
    <xf numFmtId="6" fontId="0" fillId="2" borderId="30" xfId="0" applyNumberFormat="1" applyFill="1" applyBorder="1"/>
    <xf numFmtId="0" fontId="0" fillId="2" borderId="31" xfId="0" applyFill="1" applyBorder="1"/>
    <xf numFmtId="0" fontId="1" fillId="2" borderId="28" xfId="0" applyFont="1" applyFill="1" applyBorder="1"/>
    <xf numFmtId="6" fontId="0" fillId="4" borderId="33" xfId="0" applyNumberFormat="1" applyFill="1" applyBorder="1"/>
    <xf numFmtId="165" fontId="0" fillId="2" borderId="5" xfId="0" applyNumberFormat="1" applyFill="1" applyBorder="1"/>
    <xf numFmtId="0" fontId="0" fillId="2" borderId="26" xfId="0" applyFill="1" applyBorder="1"/>
    <xf numFmtId="0" fontId="0" fillId="2" borderId="32" xfId="0" applyFill="1" applyBorder="1"/>
    <xf numFmtId="0" fontId="15" fillId="2" borderId="5" xfId="1" applyFont="1" applyFill="1" applyBorder="1" applyAlignment="1" applyProtection="1">
      <alignment horizontal="center" vertical="center" wrapText="1"/>
      <protection hidden="1"/>
    </xf>
    <xf numFmtId="0" fontId="19" fillId="2" borderId="4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vertical="center"/>
    </xf>
    <xf numFmtId="0" fontId="12" fillId="2" borderId="0" xfId="0" applyFont="1" applyFill="1"/>
    <xf numFmtId="0" fontId="5" fillId="4" borderId="5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 wrapText="1"/>
    </xf>
    <xf numFmtId="0" fontId="11" fillId="2" borderId="0" xfId="0" applyFont="1" applyFill="1"/>
    <xf numFmtId="0" fontId="0" fillId="2" borderId="34" xfId="0" applyFill="1" applyBorder="1"/>
    <xf numFmtId="0" fontId="0" fillId="2" borderId="37" xfId="0" applyFill="1" applyBorder="1"/>
    <xf numFmtId="0" fontId="0" fillId="2" borderId="38" xfId="0" applyFill="1" applyBorder="1"/>
    <xf numFmtId="0" fontId="0" fillId="2" borderId="39" xfId="0" applyFill="1" applyBorder="1"/>
    <xf numFmtId="0" fontId="0" fillId="2" borderId="40" xfId="0" applyFill="1" applyBorder="1"/>
    <xf numFmtId="0" fontId="0" fillId="2" borderId="41" xfId="0" applyFill="1" applyBorder="1"/>
    <xf numFmtId="0" fontId="12" fillId="2" borderId="35" xfId="0" applyFont="1" applyFill="1" applyBorder="1" applyAlignment="1">
      <alignment vertical="center" wrapText="1"/>
    </xf>
    <xf numFmtId="0" fontId="12" fillId="2" borderId="36" xfId="0" applyFont="1" applyFill="1" applyBorder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38" xfId="0" applyFont="1" applyFill="1" applyBorder="1"/>
    <xf numFmtId="0" fontId="16" fillId="8" borderId="42" xfId="0" applyFont="1" applyFill="1" applyBorder="1"/>
    <xf numFmtId="0" fontId="12" fillId="2" borderId="43" xfId="0" applyFont="1" applyFill="1" applyBorder="1"/>
    <xf numFmtId="0" fontId="12" fillId="0" borderId="43" xfId="0" applyFont="1" applyBorder="1"/>
    <xf numFmtId="0" fontId="12" fillId="2" borderId="45" xfId="0" applyFont="1" applyFill="1" applyBorder="1"/>
    <xf numFmtId="0" fontId="12" fillId="2" borderId="47" xfId="0" applyFont="1" applyFill="1" applyBorder="1"/>
    <xf numFmtId="8" fontId="12" fillId="4" borderId="48" xfId="0" applyNumberFormat="1" applyFont="1" applyFill="1" applyBorder="1"/>
    <xf numFmtId="8" fontId="12" fillId="4" borderId="49" xfId="0" applyNumberFormat="1" applyFont="1" applyFill="1" applyBorder="1"/>
    <xf numFmtId="0" fontId="16" fillId="8" borderId="50" xfId="0" applyFont="1" applyFill="1" applyBorder="1"/>
    <xf numFmtId="0" fontId="16" fillId="8" borderId="42" xfId="0" applyFont="1" applyFill="1" applyBorder="1" applyAlignment="1">
      <alignment vertical="center" wrapText="1"/>
    </xf>
    <xf numFmtId="0" fontId="13" fillId="11" borderId="5" xfId="1" applyFont="1" applyFill="1" applyBorder="1" applyAlignment="1" applyProtection="1">
      <alignment vertical="center"/>
      <protection hidden="1"/>
    </xf>
    <xf numFmtId="8" fontId="12" fillId="16" borderId="30" xfId="0" applyNumberFormat="1" applyFont="1" applyFill="1" applyBorder="1"/>
    <xf numFmtId="8" fontId="12" fillId="16" borderId="5" xfId="0" applyNumberFormat="1" applyFont="1" applyFill="1" applyBorder="1"/>
    <xf numFmtId="8" fontId="12" fillId="16" borderId="46" xfId="0" applyNumberFormat="1" applyFont="1" applyFill="1" applyBorder="1"/>
    <xf numFmtId="0" fontId="16" fillId="2" borderId="42" xfId="0" applyFont="1" applyFill="1" applyBorder="1"/>
    <xf numFmtId="0" fontId="23" fillId="2" borderId="0" xfId="0" applyFont="1" applyFill="1"/>
    <xf numFmtId="0" fontId="23" fillId="2" borderId="0" xfId="0" applyFont="1" applyFill="1" applyAlignment="1">
      <alignment vertical="center"/>
    </xf>
    <xf numFmtId="164" fontId="0" fillId="2" borderId="5" xfId="0" applyNumberFormat="1" applyFill="1" applyBorder="1"/>
    <xf numFmtId="0" fontId="23" fillId="2" borderId="38" xfId="0" applyFont="1" applyFill="1" applyBorder="1"/>
    <xf numFmtId="0" fontId="12" fillId="2" borderId="34" xfId="0" applyFont="1" applyFill="1" applyBorder="1"/>
    <xf numFmtId="0" fontId="12" fillId="2" borderId="35" xfId="0" applyFont="1" applyFill="1" applyBorder="1"/>
    <xf numFmtId="0" fontId="12" fillId="2" borderId="36" xfId="0" applyFont="1" applyFill="1" applyBorder="1"/>
    <xf numFmtId="0" fontId="12" fillId="2" borderId="37" xfId="0" applyFont="1" applyFill="1" applyBorder="1"/>
    <xf numFmtId="0" fontId="16" fillId="2" borderId="38" xfId="0" applyFont="1" applyFill="1" applyBorder="1" applyAlignment="1">
      <alignment horizontal="center" vertical="center"/>
    </xf>
    <xf numFmtId="0" fontId="12" fillId="2" borderId="39" xfId="0" applyFont="1" applyFill="1" applyBorder="1"/>
    <xf numFmtId="0" fontId="12" fillId="2" borderId="40" xfId="0" applyFont="1" applyFill="1" applyBorder="1"/>
    <xf numFmtId="0" fontId="12" fillId="2" borderId="41" xfId="0" applyFont="1" applyFill="1" applyBorder="1"/>
    <xf numFmtId="0" fontId="19" fillId="15" borderId="5" xfId="0" applyFont="1" applyFill="1" applyBorder="1" applyAlignment="1">
      <alignment horizontal="left" vertical="center"/>
    </xf>
    <xf numFmtId="0" fontId="19" fillId="13" borderId="8" xfId="0" applyFont="1" applyFill="1" applyBorder="1" applyAlignment="1">
      <alignment wrapText="1"/>
    </xf>
    <xf numFmtId="165" fontId="19" fillId="13" borderId="6" xfId="0" applyNumberFormat="1" applyFont="1" applyFill="1" applyBorder="1"/>
    <xf numFmtId="165" fontId="19" fillId="15" borderId="11" xfId="0" applyNumberFormat="1" applyFont="1" applyFill="1" applyBorder="1" applyAlignment="1">
      <alignment horizontal="center" vertical="center"/>
    </xf>
    <xf numFmtId="165" fontId="7" fillId="17" borderId="11" xfId="0" applyNumberFormat="1" applyFont="1" applyFill="1" applyBorder="1" applyAlignment="1">
      <alignment horizontal="center" vertical="center"/>
    </xf>
    <xf numFmtId="0" fontId="19" fillId="8" borderId="5" xfId="0" applyFont="1" applyFill="1" applyBorder="1" applyAlignment="1">
      <alignment horizontal="left" vertical="center"/>
    </xf>
    <xf numFmtId="165" fontId="19" fillId="8" borderId="5" xfId="0" applyNumberFormat="1" applyFont="1" applyFill="1" applyBorder="1" applyAlignment="1">
      <alignment horizontal="center" vertical="center"/>
    </xf>
    <xf numFmtId="165" fontId="7" fillId="23" borderId="5" xfId="0" applyNumberFormat="1" applyFont="1" applyFill="1" applyBorder="1" applyAlignment="1">
      <alignment horizontal="center" vertical="center"/>
    </xf>
    <xf numFmtId="3" fontId="7" fillId="24" borderId="5" xfId="0" applyNumberFormat="1" applyFont="1" applyFill="1" applyBorder="1" applyAlignment="1">
      <alignment vertical="center"/>
    </xf>
    <xf numFmtId="0" fontId="17" fillId="4" borderId="5" xfId="0" applyFont="1" applyFill="1" applyBorder="1" applyAlignment="1">
      <alignment horizontal="center" vertical="center" wrapText="1"/>
    </xf>
    <xf numFmtId="166" fontId="7" fillId="21" borderId="5" xfId="0" applyNumberFormat="1" applyFont="1" applyFill="1" applyBorder="1" applyAlignment="1">
      <alignment horizontal="right" vertical="center"/>
    </xf>
    <xf numFmtId="164" fontId="11" fillId="2" borderId="15" xfId="0" applyNumberFormat="1" applyFont="1" applyFill="1" applyBorder="1" applyAlignment="1">
      <alignment horizontal="center"/>
    </xf>
    <xf numFmtId="164" fontId="17" fillId="2" borderId="4" xfId="0" applyNumberFormat="1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0" fillId="2" borderId="28" xfId="0" applyFill="1" applyBorder="1"/>
    <xf numFmtId="167" fontId="27" fillId="26" borderId="61" xfId="2" applyFont="1" applyFill="1" applyBorder="1"/>
    <xf numFmtId="167" fontId="26" fillId="26" borderId="62" xfId="2" applyFill="1" applyBorder="1"/>
    <xf numFmtId="167" fontId="28" fillId="2" borderId="11" xfId="2" applyFont="1" applyFill="1" applyBorder="1"/>
    <xf numFmtId="167" fontId="28" fillId="2" borderId="5" xfId="2" applyFont="1" applyFill="1" applyBorder="1"/>
    <xf numFmtId="169" fontId="28" fillId="2" borderId="5" xfId="3" applyNumberFormat="1" applyFont="1" applyFill="1" applyBorder="1"/>
    <xf numFmtId="0" fontId="28" fillId="2" borderId="11" xfId="2" applyNumberFormat="1" applyFont="1" applyFill="1" applyBorder="1"/>
    <xf numFmtId="0" fontId="28" fillId="2" borderId="5" xfId="2" applyNumberFormat="1" applyFont="1" applyFill="1" applyBorder="1"/>
    <xf numFmtId="164" fontId="28" fillId="2" borderId="5" xfId="2" applyNumberFormat="1" applyFont="1" applyFill="1" applyBorder="1"/>
    <xf numFmtId="167" fontId="26" fillId="26" borderId="60" xfId="2" applyFill="1" applyBorder="1"/>
    <xf numFmtId="0" fontId="26" fillId="0" borderId="14" xfId="2" applyNumberFormat="1" applyBorder="1"/>
    <xf numFmtId="169" fontId="28" fillId="2" borderId="0" xfId="3" applyNumberFormat="1" applyFont="1" applyFill="1" applyBorder="1"/>
    <xf numFmtId="9" fontId="29" fillId="2" borderId="0" xfId="2" applyNumberFormat="1" applyFont="1" applyFill="1"/>
    <xf numFmtId="167" fontId="26" fillId="26" borderId="17" xfId="2" applyFill="1" applyBorder="1"/>
    <xf numFmtId="0" fontId="28" fillId="2" borderId="5" xfId="0" applyFont="1" applyFill="1" applyBorder="1"/>
    <xf numFmtId="164" fontId="26" fillId="0" borderId="14" xfId="2" applyNumberFormat="1" applyBorder="1"/>
    <xf numFmtId="0" fontId="28" fillId="2" borderId="0" xfId="0" applyFont="1" applyFill="1"/>
    <xf numFmtId="167" fontId="27" fillId="26" borderId="62" xfId="2" applyFont="1" applyFill="1" applyBorder="1"/>
    <xf numFmtId="164" fontId="27" fillId="0" borderId="14" xfId="2" applyNumberFormat="1" applyFont="1" applyBorder="1"/>
    <xf numFmtId="164" fontId="12" fillId="23" borderId="5" xfId="2" applyNumberFormat="1" applyFont="1" applyFill="1" applyBorder="1"/>
    <xf numFmtId="9" fontId="30" fillId="2" borderId="5" xfId="2" applyNumberFormat="1" applyFont="1" applyFill="1" applyBorder="1"/>
    <xf numFmtId="165" fontId="16" fillId="14" borderId="5" xfId="0" applyNumberFormat="1" applyFont="1" applyFill="1" applyBorder="1" applyAlignment="1">
      <alignment horizontal="center" vertical="center"/>
    </xf>
    <xf numFmtId="165" fontId="12" fillId="4" borderId="5" xfId="0" applyNumberFormat="1" applyFont="1" applyFill="1" applyBorder="1" applyAlignment="1">
      <alignment horizontal="center" vertical="center"/>
    </xf>
    <xf numFmtId="0" fontId="12" fillId="9" borderId="5" xfId="0" applyFont="1" applyFill="1" applyBorder="1" applyAlignment="1">
      <alignment horizontal="left" vertical="center"/>
    </xf>
    <xf numFmtId="0" fontId="9" fillId="2" borderId="18" xfId="0" applyFont="1" applyFill="1" applyBorder="1"/>
    <xf numFmtId="0" fontId="16" fillId="14" borderId="5" xfId="0" applyFont="1" applyFill="1" applyBorder="1" applyAlignment="1">
      <alignment horizontal="center" vertical="center"/>
    </xf>
    <xf numFmtId="165" fontId="16" fillId="14" borderId="11" xfId="0" applyNumberFormat="1" applyFont="1" applyFill="1" applyBorder="1" applyAlignment="1">
      <alignment horizontal="center" vertical="center"/>
    </xf>
    <xf numFmtId="165" fontId="12" fillId="4" borderId="11" xfId="0" applyNumberFormat="1" applyFont="1" applyFill="1" applyBorder="1" applyAlignment="1">
      <alignment horizontal="center" vertical="center"/>
    </xf>
    <xf numFmtId="0" fontId="13" fillId="11" borderId="6" xfId="1" applyFont="1" applyFill="1" applyBorder="1" applyAlignment="1" applyProtection="1">
      <alignment horizontal="left" vertical="center"/>
      <protection hidden="1"/>
    </xf>
    <xf numFmtId="0" fontId="13" fillId="11" borderId="8" xfId="1" applyFont="1" applyFill="1" applyBorder="1" applyAlignment="1" applyProtection="1">
      <alignment horizontal="left" vertical="center"/>
      <protection hidden="1"/>
    </xf>
    <xf numFmtId="0" fontId="13" fillId="11" borderId="8" xfId="1" applyFont="1" applyFill="1" applyBorder="1" applyAlignment="1" applyProtection="1">
      <alignment vertical="center"/>
      <protection hidden="1"/>
    </xf>
    <xf numFmtId="0" fontId="12" fillId="13" borderId="6" xfId="0" applyFont="1" applyFill="1" applyBorder="1"/>
    <xf numFmtId="0" fontId="12" fillId="13" borderId="8" xfId="0" applyFont="1" applyFill="1" applyBorder="1" applyAlignment="1">
      <alignment wrapText="1"/>
    </xf>
    <xf numFmtId="0" fontId="13" fillId="20" borderId="5" xfId="1" applyFont="1" applyFill="1" applyBorder="1" applyAlignment="1" applyProtection="1">
      <alignment horizontal="center" vertical="center" wrapText="1"/>
      <protection hidden="1"/>
    </xf>
    <xf numFmtId="165" fontId="16" fillId="14" borderId="11" xfId="0" applyNumberFormat="1" applyFont="1" applyFill="1" applyBorder="1" applyAlignment="1">
      <alignment horizontal="center" wrapText="1"/>
    </xf>
    <xf numFmtId="165" fontId="12" fillId="8" borderId="11" xfId="0" applyNumberFormat="1" applyFont="1" applyFill="1" applyBorder="1" applyAlignment="1">
      <alignment horizontal="center" wrapText="1"/>
    </xf>
    <xf numFmtId="0" fontId="12" fillId="11" borderId="5" xfId="0" applyFont="1" applyFill="1" applyBorder="1" applyAlignment="1">
      <alignment horizontal="left" vertical="center"/>
    </xf>
    <xf numFmtId="0" fontId="13" fillId="11" borderId="11" xfId="1" applyFont="1" applyFill="1" applyBorder="1" applyAlignment="1" applyProtection="1">
      <alignment horizontal="center" vertical="center" wrapText="1"/>
      <protection hidden="1"/>
    </xf>
    <xf numFmtId="0" fontId="13" fillId="20" borderId="11" xfId="1" applyFont="1" applyFill="1" applyBorder="1" applyAlignment="1" applyProtection="1">
      <alignment horizontal="center" vertical="center" wrapText="1"/>
      <protection hidden="1"/>
    </xf>
    <xf numFmtId="0" fontId="13" fillId="11" borderId="10" xfId="1" applyFont="1" applyFill="1" applyBorder="1" applyAlignment="1" applyProtection="1">
      <alignment horizontal="center" vertical="center" wrapText="1"/>
      <protection hidden="1"/>
    </xf>
    <xf numFmtId="0" fontId="13" fillId="20" borderId="10" xfId="1" applyFont="1" applyFill="1" applyBorder="1" applyAlignment="1" applyProtection="1">
      <alignment horizontal="center" vertical="center" wrapText="1"/>
      <protection hidden="1"/>
    </xf>
    <xf numFmtId="0" fontId="9" fillId="2" borderId="17" xfId="0" applyFont="1" applyFill="1" applyBorder="1"/>
    <xf numFmtId="0" fontId="9" fillId="2" borderId="16" xfId="0" applyFont="1" applyFill="1" applyBorder="1"/>
    <xf numFmtId="0" fontId="13" fillId="11" borderId="5" xfId="1" applyFont="1" applyFill="1" applyBorder="1" applyAlignment="1" applyProtection="1">
      <alignment horizontal="center" vertical="center" wrapText="1"/>
      <protection hidden="1"/>
    </xf>
    <xf numFmtId="0" fontId="12" fillId="8" borderId="5" xfId="0" applyFont="1" applyFill="1" applyBorder="1" applyAlignment="1">
      <alignment horizontal="center" wrapText="1"/>
    </xf>
    <xf numFmtId="0" fontId="16" fillId="14" borderId="5" xfId="0" applyFont="1" applyFill="1" applyBorder="1" applyAlignment="1">
      <alignment horizontal="center" wrapText="1"/>
    </xf>
    <xf numFmtId="0" fontId="12" fillId="13" borderId="5" xfId="0" applyFont="1" applyFill="1" applyBorder="1" applyAlignment="1">
      <alignment wrapText="1"/>
    </xf>
    <xf numFmtId="0" fontId="12" fillId="13" borderId="5" xfId="0" applyFont="1" applyFill="1" applyBorder="1"/>
    <xf numFmtId="0" fontId="13" fillId="11" borderId="5" xfId="1" applyFont="1" applyFill="1" applyBorder="1" applyAlignment="1" applyProtection="1">
      <alignment horizontal="left" vertical="center"/>
      <protection hidden="1"/>
    </xf>
    <xf numFmtId="0" fontId="13" fillId="20" borderId="7" xfId="1" applyFont="1" applyFill="1" applyBorder="1" applyAlignment="1" applyProtection="1">
      <alignment horizontal="center" vertical="center" wrapText="1"/>
      <protection hidden="1"/>
    </xf>
    <xf numFmtId="0" fontId="12" fillId="11" borderId="11" xfId="0" applyFont="1" applyFill="1" applyBorder="1" applyAlignment="1">
      <alignment horizontal="left" vertical="center"/>
    </xf>
    <xf numFmtId="0" fontId="15" fillId="2" borderId="1" xfId="1" applyFont="1" applyFill="1" applyBorder="1" applyAlignment="1" applyProtection="1">
      <alignment horizontal="center" vertical="center" wrapText="1"/>
      <protection hidden="1"/>
    </xf>
    <xf numFmtId="0" fontId="19" fillId="2" borderId="0" xfId="0" applyFont="1" applyFill="1" applyAlignment="1">
      <alignment horizontal="center" vertical="center"/>
    </xf>
    <xf numFmtId="3" fontId="19" fillId="2" borderId="0" xfId="0" applyNumberFormat="1" applyFont="1" applyFill="1" applyAlignment="1">
      <alignment horizontal="center" vertical="center"/>
    </xf>
    <xf numFmtId="0" fontId="19" fillId="25" borderId="7" xfId="0" applyFont="1" applyFill="1" applyBorder="1" applyAlignment="1">
      <alignment vertical="center" wrapText="1"/>
    </xf>
    <xf numFmtId="0" fontId="19" fillId="12" borderId="7" xfId="0" applyFont="1" applyFill="1" applyBorder="1" applyAlignment="1">
      <alignment vertical="center" wrapText="1"/>
    </xf>
    <xf numFmtId="0" fontId="15" fillId="2" borderId="5" xfId="1" applyFont="1" applyFill="1" applyBorder="1" applyAlignment="1" applyProtection="1">
      <alignment horizontal="center" vertical="center"/>
      <protection hidden="1"/>
    </xf>
    <xf numFmtId="8" fontId="0" fillId="20" borderId="5" xfId="0" applyNumberFormat="1" applyFill="1" applyBorder="1"/>
    <xf numFmtId="164" fontId="0" fillId="20" borderId="5" xfId="0" applyNumberFormat="1" applyFill="1" applyBorder="1"/>
    <xf numFmtId="8" fontId="0" fillId="20" borderId="30" xfId="0" applyNumberFormat="1" applyFill="1" applyBorder="1"/>
    <xf numFmtId="0" fontId="11" fillId="4" borderId="5" xfId="0" applyFont="1" applyFill="1" applyBorder="1" applyAlignment="1">
      <alignment horizontal="center" vertical="center" wrapText="1"/>
    </xf>
    <xf numFmtId="3" fontId="19" fillId="2" borderId="11" xfId="0" applyNumberFormat="1" applyFont="1" applyFill="1" applyBorder="1" applyAlignment="1">
      <alignment horizontal="center" vertical="center"/>
    </xf>
    <xf numFmtId="164" fontId="19" fillId="2" borderId="11" xfId="0" applyNumberFormat="1" applyFont="1" applyFill="1" applyBorder="1" applyAlignment="1">
      <alignment horizontal="center" vertical="center"/>
    </xf>
    <xf numFmtId="0" fontId="19" fillId="25" borderId="5" xfId="0" applyFont="1" applyFill="1" applyBorder="1" applyAlignment="1">
      <alignment vertical="center" wrapText="1"/>
    </xf>
    <xf numFmtId="0" fontId="19" fillId="12" borderId="5" xfId="0" applyFont="1" applyFill="1" applyBorder="1" applyAlignment="1">
      <alignment vertical="center" wrapText="1"/>
    </xf>
    <xf numFmtId="0" fontId="12" fillId="13" borderId="0" xfId="0" applyFont="1" applyFill="1" applyAlignment="1">
      <alignment wrapText="1"/>
    </xf>
    <xf numFmtId="0" fontId="12" fillId="13" borderId="0" xfId="0" applyFont="1" applyFill="1"/>
    <xf numFmtId="0" fontId="13" fillId="11" borderId="0" xfId="1" applyFont="1" applyFill="1" applyAlignment="1" applyProtection="1">
      <alignment horizontal="left" vertical="center"/>
      <protection hidden="1"/>
    </xf>
    <xf numFmtId="0" fontId="9" fillId="2" borderId="20" xfId="0" applyFont="1" applyFill="1" applyBorder="1"/>
    <xf numFmtId="165" fontId="7" fillId="24" borderId="5" xfId="0" applyNumberFormat="1" applyFont="1" applyFill="1" applyBorder="1" applyAlignment="1">
      <alignment horizontal="right" vertical="center"/>
    </xf>
    <xf numFmtId="165" fontId="7" fillId="2" borderId="5" xfId="0" applyNumberFormat="1" applyFont="1" applyFill="1" applyBorder="1" applyAlignment="1">
      <alignment horizontal="right" vertical="center"/>
    </xf>
    <xf numFmtId="165" fontId="7" fillId="12" borderId="5" xfId="0" applyNumberFormat="1" applyFont="1" applyFill="1" applyBorder="1" applyAlignment="1">
      <alignment horizontal="right" vertical="center"/>
    </xf>
    <xf numFmtId="0" fontId="11" fillId="27" borderId="5" xfId="0" applyFont="1" applyFill="1" applyBorder="1" applyAlignment="1">
      <alignment horizontal="center"/>
    </xf>
    <xf numFmtId="0" fontId="11" fillId="4" borderId="5" xfId="0" applyFont="1" applyFill="1" applyBorder="1" applyAlignment="1">
      <alignment horizontal="center"/>
    </xf>
    <xf numFmtId="8" fontId="12" fillId="16" borderId="5" xfId="0" applyNumberFormat="1" applyFont="1" applyFill="1" applyBorder="1" applyAlignment="1">
      <alignment horizontal="center" vertical="center" wrapText="1"/>
    </xf>
    <xf numFmtId="8" fontId="12" fillId="10" borderId="48" xfId="0" applyNumberFormat="1" applyFont="1" applyFill="1" applyBorder="1"/>
    <xf numFmtId="0" fontId="11" fillId="2" borderId="7" xfId="0" applyFont="1" applyFill="1" applyBorder="1" applyAlignment="1">
      <alignment wrapText="1"/>
    </xf>
    <xf numFmtId="0" fontId="17" fillId="2" borderId="7" xfId="0" applyFont="1" applyFill="1" applyBorder="1" applyAlignment="1">
      <alignment wrapText="1"/>
    </xf>
    <xf numFmtId="0" fontId="7" fillId="11" borderId="7" xfId="0" applyFont="1" applyFill="1" applyBorder="1" applyAlignment="1">
      <alignment horizontal="left" vertical="center"/>
    </xf>
    <xf numFmtId="0" fontId="7" fillId="2" borderId="0" xfId="0" applyFont="1" applyFill="1"/>
    <xf numFmtId="165" fontId="11" fillId="4" borderId="5" xfId="0" applyNumberFormat="1" applyFont="1" applyFill="1" applyBorder="1"/>
    <xf numFmtId="0" fontId="20" fillId="11" borderId="5" xfId="1" applyFont="1" applyFill="1" applyBorder="1" applyAlignment="1" applyProtection="1">
      <alignment horizontal="center" vertical="center" wrapText="1"/>
      <protection hidden="1"/>
    </xf>
    <xf numFmtId="0" fontId="11" fillId="4" borderId="5" xfId="0" applyFont="1" applyFill="1" applyBorder="1"/>
    <xf numFmtId="0" fontId="5" fillId="2" borderId="12" xfId="0" applyFont="1" applyFill="1" applyBorder="1"/>
    <xf numFmtId="0" fontId="5" fillId="2" borderId="8" xfId="0" applyFont="1" applyFill="1" applyBorder="1"/>
    <xf numFmtId="0" fontId="20" fillId="11" borderId="1" xfId="1" applyFont="1" applyFill="1" applyBorder="1" applyAlignment="1" applyProtection="1">
      <alignment horizontal="center" vertical="center" wrapText="1"/>
      <protection hidden="1"/>
    </xf>
    <xf numFmtId="165" fontId="11" fillId="7" borderId="5" xfId="0" applyNumberFormat="1" applyFont="1" applyFill="1" applyBorder="1" applyAlignment="1">
      <alignment horizontal="right"/>
    </xf>
    <xf numFmtId="9" fontId="7" fillId="11" borderId="5" xfId="4" applyFont="1" applyFill="1" applyBorder="1" applyAlignment="1">
      <alignment horizontal="left" vertical="center"/>
    </xf>
    <xf numFmtId="9" fontId="7" fillId="21" borderId="5" xfId="4" applyFont="1" applyFill="1" applyBorder="1" applyAlignment="1">
      <alignment horizontal="right" vertical="center" wrapText="1"/>
    </xf>
    <xf numFmtId="0" fontId="15" fillId="2" borderId="2" xfId="1" applyFont="1" applyFill="1" applyBorder="1" applyAlignment="1" applyProtection="1">
      <alignment horizontal="center" vertical="center" wrapText="1"/>
      <protection hidden="1"/>
    </xf>
    <xf numFmtId="0" fontId="31" fillId="3" borderId="10" xfId="1" applyFont="1" applyFill="1" applyBorder="1" applyAlignment="1" applyProtection="1">
      <alignment vertical="center"/>
      <protection hidden="1"/>
    </xf>
    <xf numFmtId="0" fontId="31" fillId="3" borderId="13" xfId="1" applyFont="1" applyFill="1" applyBorder="1" applyAlignment="1" applyProtection="1">
      <alignment vertical="center"/>
      <protection hidden="1"/>
    </xf>
    <xf numFmtId="0" fontId="31" fillId="3" borderId="15" xfId="1" applyFont="1" applyFill="1" applyBorder="1" applyAlignment="1" applyProtection="1">
      <alignment vertical="center"/>
      <protection hidden="1"/>
    </xf>
    <xf numFmtId="0" fontId="31" fillId="3" borderId="12" xfId="1" applyFont="1" applyFill="1" applyBorder="1" applyAlignment="1" applyProtection="1">
      <alignment vertical="center"/>
      <protection hidden="1"/>
    </xf>
    <xf numFmtId="0" fontId="31" fillId="3" borderId="13" xfId="1" applyFont="1" applyFill="1" applyBorder="1" applyAlignment="1" applyProtection="1">
      <alignment vertical="center" wrapText="1"/>
      <protection hidden="1"/>
    </xf>
    <xf numFmtId="0" fontId="31" fillId="3" borderId="12" xfId="1" applyFont="1" applyFill="1" applyBorder="1" applyAlignment="1" applyProtection="1">
      <alignment vertical="center" wrapText="1"/>
      <protection hidden="1"/>
    </xf>
    <xf numFmtId="0" fontId="31" fillId="3" borderId="15" xfId="1" applyFont="1" applyFill="1" applyBorder="1" applyAlignment="1" applyProtection="1">
      <alignment vertical="center" wrapText="1"/>
      <protection hidden="1"/>
    </xf>
    <xf numFmtId="0" fontId="20" fillId="22" borderId="5" xfId="1" applyFont="1" applyFill="1" applyBorder="1" applyAlignment="1" applyProtection="1">
      <alignment vertical="center"/>
      <protection hidden="1"/>
    </xf>
    <xf numFmtId="0" fontId="3" fillId="2" borderId="0" xfId="1" applyFill="1"/>
    <xf numFmtId="0" fontId="3" fillId="2" borderId="3" xfId="1" applyFill="1" applyBorder="1"/>
    <xf numFmtId="0" fontId="3" fillId="2" borderId="8" xfId="1" applyFill="1" applyBorder="1"/>
    <xf numFmtId="0" fontId="36" fillId="2" borderId="0" xfId="1" applyFont="1" applyFill="1"/>
    <xf numFmtId="0" fontId="3" fillId="2" borderId="6" xfId="1" applyFill="1" applyBorder="1"/>
    <xf numFmtId="0" fontId="17" fillId="7" borderId="60" xfId="0" applyFont="1" applyFill="1" applyBorder="1" applyAlignment="1">
      <alignment horizontal="center"/>
    </xf>
    <xf numFmtId="6" fontId="0" fillId="0" borderId="0" xfId="0" applyNumberFormat="1"/>
    <xf numFmtId="44" fontId="11" fillId="2" borderId="15" xfId="5" applyFont="1" applyFill="1" applyBorder="1" applyAlignment="1">
      <alignment horizontal="center"/>
    </xf>
    <xf numFmtId="0" fontId="3" fillId="0" borderId="0" xfId="1"/>
    <xf numFmtId="0" fontId="9" fillId="2" borderId="10" xfId="0" applyFont="1" applyFill="1" applyBorder="1"/>
    <xf numFmtId="0" fontId="0" fillId="2" borderId="14" xfId="0" applyFill="1" applyBorder="1"/>
    <xf numFmtId="0" fontId="0" fillId="2" borderId="11" xfId="0" applyFill="1" applyBorder="1"/>
    <xf numFmtId="170" fontId="11" fillId="2" borderId="15" xfId="6" applyNumberFormat="1" applyFont="1" applyFill="1" applyBorder="1" applyAlignment="1">
      <alignment horizontal="center"/>
    </xf>
    <xf numFmtId="0" fontId="0" fillId="28" borderId="0" xfId="0" applyFill="1"/>
    <xf numFmtId="165" fontId="7" fillId="5" borderId="5" xfId="0" applyNumberFormat="1" applyFont="1" applyFill="1" applyBorder="1" applyAlignment="1">
      <alignment horizontal="right" vertical="center"/>
    </xf>
    <xf numFmtId="0" fontId="7" fillId="11" borderId="5" xfId="0" applyFont="1" applyFill="1" applyBorder="1" applyAlignment="1">
      <alignment horizontal="right" vertical="center"/>
    </xf>
    <xf numFmtId="0" fontId="3" fillId="0" borderId="8" xfId="1" applyBorder="1"/>
    <xf numFmtId="0" fontId="3" fillId="0" borderId="6" xfId="1" applyBorder="1"/>
    <xf numFmtId="0" fontId="11" fillId="2" borderId="15" xfId="0" applyFont="1" applyFill="1" applyBorder="1" applyAlignment="1">
      <alignment horizontal="center"/>
    </xf>
    <xf numFmtId="0" fontId="12" fillId="0" borderId="44" xfId="0" applyFont="1" applyBorder="1" applyAlignment="1">
      <alignment wrapText="1"/>
    </xf>
    <xf numFmtId="0" fontId="7" fillId="22" borderId="5" xfId="0" applyFont="1" applyFill="1" applyBorder="1" applyAlignment="1">
      <alignment horizontal="left" vertical="center"/>
    </xf>
    <xf numFmtId="171" fontId="19" fillId="2" borderId="5" xfId="4" applyNumberFormat="1" applyFont="1" applyFill="1" applyBorder="1" applyAlignment="1">
      <alignment horizontal="center" vertical="center"/>
    </xf>
    <xf numFmtId="9" fontId="7" fillId="4" borderId="5" xfId="4" applyFont="1" applyFill="1" applyBorder="1" applyAlignment="1" applyProtection="1">
      <alignment horizontal="right" vertical="center" wrapText="1"/>
      <protection locked="0"/>
    </xf>
    <xf numFmtId="49" fontId="0" fillId="2" borderId="0" xfId="0" applyNumberFormat="1" applyFill="1"/>
    <xf numFmtId="0" fontId="7" fillId="4" borderId="5" xfId="0" applyFont="1" applyFill="1" applyBorder="1" applyAlignment="1" applyProtection="1">
      <alignment horizontal="right" vertical="center" wrapText="1"/>
      <protection locked="0"/>
    </xf>
    <xf numFmtId="0" fontId="15" fillId="2" borderId="7" xfId="1" applyFont="1" applyFill="1" applyBorder="1" applyAlignment="1" applyProtection="1">
      <alignment horizontal="center" vertical="center" wrapText="1"/>
      <protection hidden="1"/>
    </xf>
    <xf numFmtId="0" fontId="25" fillId="20" borderId="10" xfId="1" applyFont="1" applyFill="1" applyBorder="1" applyAlignment="1" applyProtection="1">
      <alignment horizontal="center" vertical="center" wrapText="1"/>
      <protection hidden="1"/>
    </xf>
    <xf numFmtId="0" fontId="25" fillId="11" borderId="10" xfId="1" applyFont="1" applyFill="1" applyBorder="1" applyAlignment="1" applyProtection="1">
      <alignment horizontal="center" vertical="center" wrapText="1"/>
      <protection hidden="1"/>
    </xf>
    <xf numFmtId="0" fontId="25" fillId="20" borderId="11" xfId="1" applyFont="1" applyFill="1" applyBorder="1" applyAlignment="1" applyProtection="1">
      <alignment horizontal="center" vertical="center" wrapText="1"/>
      <protection hidden="1"/>
    </xf>
    <xf numFmtId="0" fontId="25" fillId="11" borderId="11" xfId="1" applyFont="1" applyFill="1" applyBorder="1" applyAlignment="1" applyProtection="1">
      <alignment horizontal="center" vertical="center" wrapText="1"/>
      <protection hidden="1"/>
    </xf>
    <xf numFmtId="0" fontId="41" fillId="0" borderId="0" xfId="0" applyFont="1"/>
    <xf numFmtId="0" fontId="1" fillId="2" borderId="0" xfId="0" applyFont="1" applyFill="1"/>
    <xf numFmtId="171" fontId="19" fillId="4" borderId="5" xfId="0" applyNumberFormat="1" applyFont="1" applyFill="1" applyBorder="1" applyAlignment="1">
      <alignment horizontal="right" vertical="center"/>
    </xf>
    <xf numFmtId="9" fontId="19" fillId="8" borderId="5" xfId="4" applyFont="1" applyFill="1" applyBorder="1" applyAlignment="1">
      <alignment horizontal="right" vertical="center"/>
    </xf>
    <xf numFmtId="0" fontId="13" fillId="11" borderId="1" xfId="1" applyFont="1" applyFill="1" applyBorder="1" applyAlignment="1" applyProtection="1">
      <alignment horizontal="left" vertical="center"/>
      <protection hidden="1"/>
    </xf>
    <xf numFmtId="9" fontId="0" fillId="28" borderId="0" xfId="0" applyNumberFormat="1" applyFill="1"/>
    <xf numFmtId="0" fontId="13" fillId="11" borderId="1" xfId="1" applyFont="1" applyFill="1" applyBorder="1" applyAlignment="1" applyProtection="1">
      <alignment horizontal="center" vertical="center" wrapText="1"/>
      <protection hidden="1"/>
    </xf>
    <xf numFmtId="0" fontId="16" fillId="14" borderId="1" xfId="0" applyFont="1" applyFill="1" applyBorder="1" applyAlignment="1">
      <alignment horizontal="center" wrapText="1"/>
    </xf>
    <xf numFmtId="0" fontId="12" fillId="13" borderId="1" xfId="0" applyFont="1" applyFill="1" applyBorder="1"/>
    <xf numFmtId="0" fontId="16" fillId="14" borderId="1" xfId="0" applyFont="1" applyFill="1" applyBorder="1" applyAlignment="1">
      <alignment horizontal="center" vertical="center"/>
    </xf>
    <xf numFmtId="0" fontId="18" fillId="8" borderId="0" xfId="0" applyFont="1" applyFill="1"/>
    <xf numFmtId="0" fontId="0" fillId="8" borderId="0" xfId="0" applyFill="1"/>
    <xf numFmtId="0" fontId="42" fillId="8" borderId="0" xfId="0" applyFont="1" applyFill="1"/>
    <xf numFmtId="0" fontId="17" fillId="18" borderId="5" xfId="0" applyFont="1" applyFill="1" applyBorder="1" applyAlignment="1">
      <alignment vertical="center"/>
    </xf>
    <xf numFmtId="0" fontId="0" fillId="0" borderId="29" xfId="0" applyBorder="1"/>
    <xf numFmtId="0" fontId="0" fillId="20" borderId="6" xfId="0" applyFill="1" applyBorder="1"/>
    <xf numFmtId="0" fontId="0" fillId="20" borderId="0" xfId="0" applyFill="1"/>
    <xf numFmtId="0" fontId="43" fillId="20" borderId="0" xfId="0" applyFont="1" applyFill="1"/>
    <xf numFmtId="165" fontId="19" fillId="13" borderId="0" xfId="0" applyNumberFormat="1" applyFont="1" applyFill="1" applyAlignment="1">
      <alignment vertical="center" wrapText="1"/>
    </xf>
    <xf numFmtId="165" fontId="19" fillId="13" borderId="0" xfId="0" applyNumberFormat="1" applyFont="1" applyFill="1" applyAlignment="1">
      <alignment vertical="center"/>
    </xf>
    <xf numFmtId="164" fontId="28" fillId="28" borderId="5" xfId="2" applyNumberFormat="1" applyFont="1" applyFill="1" applyBorder="1"/>
    <xf numFmtId="0" fontId="26" fillId="28" borderId="14" xfId="2" applyNumberFormat="1" applyFill="1" applyBorder="1"/>
    <xf numFmtId="6" fontId="0" fillId="28" borderId="5" xfId="0" applyNumberFormat="1" applyFill="1" applyBorder="1"/>
    <xf numFmtId="6" fontId="0" fillId="28" borderId="30" xfId="0" applyNumberFormat="1" applyFill="1" applyBorder="1"/>
    <xf numFmtId="6" fontId="0" fillId="28" borderId="32" xfId="0" applyNumberFormat="1" applyFill="1" applyBorder="1"/>
    <xf numFmtId="6" fontId="0" fillId="28" borderId="33" xfId="0" applyNumberFormat="1" applyFill="1" applyBorder="1"/>
    <xf numFmtId="165" fontId="0" fillId="28" borderId="5" xfId="0" applyNumberFormat="1" applyFill="1" applyBorder="1"/>
    <xf numFmtId="165" fontId="0" fillId="28" borderId="32" xfId="0" applyNumberFormat="1" applyFill="1" applyBorder="1"/>
    <xf numFmtId="0" fontId="5" fillId="2" borderId="0" xfId="0" applyFont="1" applyFill="1" applyBorder="1"/>
    <xf numFmtId="0" fontId="0" fillId="2" borderId="0" xfId="0" applyFill="1" applyBorder="1"/>
    <xf numFmtId="0" fontId="42" fillId="8" borderId="0" xfId="0" applyFont="1" applyFill="1" applyBorder="1"/>
    <xf numFmtId="0" fontId="23" fillId="4" borderId="1" xfId="0" applyFont="1" applyFill="1" applyBorder="1" applyAlignment="1">
      <alignment horizontal="center" vertical="center" wrapText="1"/>
    </xf>
    <xf numFmtId="0" fontId="23" fillId="4" borderId="7" xfId="0" applyFont="1" applyFill="1" applyBorder="1" applyAlignment="1">
      <alignment horizontal="center" vertical="center" wrapText="1"/>
    </xf>
    <xf numFmtId="0" fontId="42" fillId="2" borderId="0" xfId="0" applyFont="1" applyFill="1" applyAlignment="1">
      <alignment horizontal="center" wrapText="1"/>
    </xf>
    <xf numFmtId="0" fontId="12" fillId="2" borderId="0" xfId="0" applyFont="1" applyFill="1" applyAlignment="1">
      <alignment horizontal="left" vertical="center" wrapText="1"/>
    </xf>
    <xf numFmtId="0" fontId="19" fillId="2" borderId="51" xfId="0" applyFont="1" applyFill="1" applyBorder="1" applyAlignment="1">
      <alignment horizontal="left" vertical="top" wrapText="1"/>
    </xf>
    <xf numFmtId="0" fontId="19" fillId="2" borderId="52" xfId="0" applyFont="1" applyFill="1" applyBorder="1" applyAlignment="1">
      <alignment horizontal="left" vertical="top" wrapText="1"/>
    </xf>
    <xf numFmtId="0" fontId="19" fillId="2" borderId="53" xfId="0" applyFont="1" applyFill="1" applyBorder="1" applyAlignment="1">
      <alignment horizontal="left" vertical="top" wrapText="1"/>
    </xf>
    <xf numFmtId="0" fontId="19" fillId="2" borderId="54" xfId="0" applyFont="1" applyFill="1" applyBorder="1" applyAlignment="1">
      <alignment horizontal="left" vertical="top" wrapText="1"/>
    </xf>
    <xf numFmtId="0" fontId="19" fillId="2" borderId="0" xfId="0" applyFont="1" applyFill="1" applyAlignment="1">
      <alignment horizontal="left" vertical="top" wrapText="1"/>
    </xf>
    <xf numFmtId="0" fontId="19" fillId="2" borderId="55" xfId="0" applyFont="1" applyFill="1" applyBorder="1" applyAlignment="1">
      <alignment horizontal="left" vertical="top" wrapText="1"/>
    </xf>
    <xf numFmtId="0" fontId="19" fillId="2" borderId="56" xfId="0" applyFont="1" applyFill="1" applyBorder="1" applyAlignment="1">
      <alignment horizontal="left" vertical="top" wrapText="1"/>
    </xf>
    <xf numFmtId="0" fontId="19" fillId="2" borderId="57" xfId="0" applyFont="1" applyFill="1" applyBorder="1" applyAlignment="1">
      <alignment horizontal="left" vertical="top" wrapText="1"/>
    </xf>
    <xf numFmtId="0" fontId="19" fillId="2" borderId="58" xfId="0" applyFont="1" applyFill="1" applyBorder="1" applyAlignment="1">
      <alignment horizontal="left" vertical="top" wrapText="1"/>
    </xf>
    <xf numFmtId="0" fontId="12" fillId="4" borderId="34" xfId="0" applyFont="1" applyFill="1" applyBorder="1" applyAlignment="1">
      <alignment horizontal="left" vertical="top" wrapText="1"/>
    </xf>
    <xf numFmtId="0" fontId="12" fillId="4" borderId="35" xfId="0" applyFont="1" applyFill="1" applyBorder="1" applyAlignment="1">
      <alignment horizontal="left" vertical="top" wrapText="1"/>
    </xf>
    <xf numFmtId="0" fontId="12" fillId="4" borderId="36" xfId="0" applyFont="1" applyFill="1" applyBorder="1" applyAlignment="1">
      <alignment horizontal="left" vertical="top" wrapText="1"/>
    </xf>
    <xf numFmtId="0" fontId="12" fillId="4" borderId="37" xfId="0" applyFont="1" applyFill="1" applyBorder="1" applyAlignment="1">
      <alignment horizontal="left" vertical="top" wrapText="1"/>
    </xf>
    <xf numFmtId="0" fontId="12" fillId="4" borderId="0" xfId="0" applyFont="1" applyFill="1" applyAlignment="1">
      <alignment horizontal="left" vertical="top" wrapText="1"/>
    </xf>
    <xf numFmtId="0" fontId="12" fillId="4" borderId="38" xfId="0" applyFont="1" applyFill="1" applyBorder="1" applyAlignment="1">
      <alignment horizontal="left" vertical="top" wrapText="1"/>
    </xf>
    <xf numFmtId="0" fontId="12" fillId="4" borderId="39" xfId="0" applyFont="1" applyFill="1" applyBorder="1" applyAlignment="1">
      <alignment horizontal="left" vertical="top" wrapText="1"/>
    </xf>
    <xf numFmtId="0" fontId="12" fillId="4" borderId="40" xfId="0" applyFont="1" applyFill="1" applyBorder="1" applyAlignment="1">
      <alignment horizontal="left" vertical="top" wrapText="1"/>
    </xf>
    <xf numFmtId="0" fontId="12" fillId="4" borderId="41" xfId="0" applyFont="1" applyFill="1" applyBorder="1" applyAlignment="1">
      <alignment horizontal="left" vertical="top" wrapText="1"/>
    </xf>
    <xf numFmtId="0" fontId="12" fillId="28" borderId="59" xfId="0" applyFont="1" applyFill="1" applyBorder="1" applyAlignment="1">
      <alignment horizontal="left" vertical="top" wrapText="1"/>
    </xf>
    <xf numFmtId="0" fontId="12" fillId="28" borderId="16" xfId="0" applyFont="1" applyFill="1" applyBorder="1" applyAlignment="1">
      <alignment horizontal="left" vertical="top" wrapText="1"/>
    </xf>
    <xf numFmtId="0" fontId="12" fillId="28" borderId="17" xfId="0" applyFont="1" applyFill="1" applyBorder="1" applyAlignment="1">
      <alignment horizontal="left" vertical="top" wrapText="1"/>
    </xf>
    <xf numFmtId="0" fontId="12" fillId="28" borderId="18" xfId="0" applyFont="1" applyFill="1" applyBorder="1" applyAlignment="1">
      <alignment horizontal="left" vertical="top" wrapText="1"/>
    </xf>
    <xf numFmtId="0" fontId="12" fillId="28" borderId="0" xfId="0" applyFont="1" applyFill="1" applyAlignment="1">
      <alignment horizontal="left" vertical="top" wrapText="1"/>
    </xf>
    <xf numFmtId="0" fontId="12" fillId="28" borderId="19" xfId="0" applyFont="1" applyFill="1" applyBorder="1" applyAlignment="1">
      <alignment horizontal="left" vertical="top" wrapText="1"/>
    </xf>
    <xf numFmtId="0" fontId="12" fillId="28" borderId="20" xfId="0" applyFont="1" applyFill="1" applyBorder="1" applyAlignment="1">
      <alignment horizontal="left" vertical="top" wrapText="1"/>
    </xf>
    <xf numFmtId="0" fontId="12" fillId="28" borderId="21" xfId="0" applyFont="1" applyFill="1" applyBorder="1" applyAlignment="1">
      <alignment horizontal="left" vertical="top" wrapText="1"/>
    </xf>
    <xf numFmtId="0" fontId="12" fillId="28" borderId="22" xfId="0" applyFont="1" applyFill="1" applyBorder="1" applyAlignment="1">
      <alignment horizontal="left" vertical="top" wrapText="1"/>
    </xf>
    <xf numFmtId="0" fontId="7" fillId="9" borderId="1" xfId="0" applyFont="1" applyFill="1" applyBorder="1" applyAlignment="1">
      <alignment horizontal="center" vertical="center"/>
    </xf>
    <xf numFmtId="0" fontId="7" fillId="9" borderId="7" xfId="0" applyFont="1" applyFill="1" applyBorder="1" applyAlignment="1">
      <alignment horizontal="center" vertical="center"/>
    </xf>
    <xf numFmtId="0" fontId="11" fillId="8" borderId="23" xfId="0" applyFont="1" applyFill="1" applyBorder="1" applyAlignment="1">
      <alignment horizontal="center"/>
    </xf>
    <xf numFmtId="0" fontId="11" fillId="8" borderId="25" xfId="0" applyFont="1" applyFill="1" applyBorder="1" applyAlignment="1">
      <alignment horizontal="center"/>
    </xf>
    <xf numFmtId="0" fontId="11" fillId="8" borderId="24" xfId="0" applyFont="1" applyFill="1" applyBorder="1" applyAlignment="1">
      <alignment horizontal="center"/>
    </xf>
    <xf numFmtId="0" fontId="25" fillId="20" borderId="10" xfId="0" applyFont="1" applyFill="1" applyBorder="1" applyAlignment="1">
      <alignment horizontal="center" vertical="center" wrapText="1"/>
    </xf>
    <xf numFmtId="0" fontId="25" fillId="20" borderId="11" xfId="0" applyFont="1" applyFill="1" applyBorder="1" applyAlignment="1">
      <alignment horizontal="center" vertical="center" wrapText="1"/>
    </xf>
    <xf numFmtId="0" fontId="15" fillId="2" borderId="13" xfId="1" applyFont="1" applyFill="1" applyBorder="1" applyAlignment="1" applyProtection="1">
      <alignment horizontal="center" vertical="center" wrapText="1"/>
      <protection hidden="1"/>
    </xf>
    <xf numFmtId="0" fontId="15" fillId="2" borderId="12" xfId="1" applyFont="1" applyFill="1" applyBorder="1" applyAlignment="1" applyProtection="1">
      <alignment horizontal="center" vertical="center" wrapText="1"/>
      <protection hidden="1"/>
    </xf>
    <xf numFmtId="0" fontId="15" fillId="2" borderId="15" xfId="1" applyFont="1" applyFill="1" applyBorder="1" applyAlignment="1" applyProtection="1">
      <alignment horizontal="center" vertical="center" wrapText="1"/>
      <protection hidden="1"/>
    </xf>
    <xf numFmtId="3" fontId="7" fillId="4" borderId="1" xfId="0" applyNumberFormat="1" applyFont="1" applyFill="1" applyBorder="1" applyAlignment="1">
      <alignment horizontal="center" vertical="center" wrapText="1"/>
    </xf>
    <xf numFmtId="3" fontId="7" fillId="4" borderId="2" xfId="0" applyNumberFormat="1" applyFont="1" applyFill="1" applyBorder="1" applyAlignment="1">
      <alignment horizontal="center" vertical="center" wrapText="1"/>
    </xf>
    <xf numFmtId="3" fontId="7" fillId="4" borderId="7" xfId="0" applyNumberFormat="1" applyFont="1" applyFill="1" applyBorder="1" applyAlignment="1">
      <alignment horizontal="center" vertical="center" wrapText="1"/>
    </xf>
    <xf numFmtId="0" fontId="42" fillId="2" borderId="12" xfId="0" applyFont="1" applyFill="1" applyBorder="1" applyAlignment="1">
      <alignment horizontal="center" wrapText="1"/>
    </xf>
    <xf numFmtId="0" fontId="42" fillId="2" borderId="15" xfId="0" applyFont="1" applyFill="1" applyBorder="1" applyAlignment="1">
      <alignment horizontal="center" wrapText="1"/>
    </xf>
    <xf numFmtId="0" fontId="42" fillId="2" borderId="6" xfId="0" applyFont="1" applyFill="1" applyBorder="1" applyAlignment="1">
      <alignment horizontal="center" wrapText="1"/>
    </xf>
    <xf numFmtId="0" fontId="42" fillId="2" borderId="3" xfId="0" applyFont="1" applyFill="1" applyBorder="1" applyAlignment="1">
      <alignment horizontal="center" wrapText="1"/>
    </xf>
    <xf numFmtId="0" fontId="42" fillId="2" borderId="4" xfId="0" applyFont="1" applyFill="1" applyBorder="1" applyAlignment="1">
      <alignment horizontal="center" wrapText="1"/>
    </xf>
    <xf numFmtId="0" fontId="15" fillId="13" borderId="1" xfId="1" applyFont="1" applyFill="1" applyBorder="1" applyAlignment="1" applyProtection="1">
      <alignment horizontal="center" vertical="center"/>
      <protection hidden="1"/>
    </xf>
    <xf numFmtId="0" fontId="15" fillId="13" borderId="2" xfId="1" applyFont="1" applyFill="1" applyBorder="1" applyAlignment="1" applyProtection="1">
      <alignment horizontal="center" vertical="center"/>
      <protection hidden="1"/>
    </xf>
    <xf numFmtId="0" fontId="15" fillId="13" borderId="7" xfId="1" applyFont="1" applyFill="1" applyBorder="1" applyAlignment="1" applyProtection="1">
      <alignment horizontal="center" vertical="center"/>
      <protection hidden="1"/>
    </xf>
    <xf numFmtId="0" fontId="15" fillId="18" borderId="1" xfId="1" applyFont="1" applyFill="1" applyBorder="1" applyAlignment="1" applyProtection="1">
      <alignment horizontal="center" vertical="center"/>
      <protection hidden="1"/>
    </xf>
    <xf numFmtId="0" fontId="15" fillId="18" borderId="2" xfId="1" applyFont="1" applyFill="1" applyBorder="1" applyAlignment="1" applyProtection="1">
      <alignment horizontal="center" vertical="center"/>
      <protection hidden="1"/>
    </xf>
    <xf numFmtId="0" fontId="15" fillId="18" borderId="7" xfId="1" applyFont="1" applyFill="1" applyBorder="1" applyAlignment="1" applyProtection="1">
      <alignment horizontal="center" vertical="center"/>
      <protection hidden="1"/>
    </xf>
    <xf numFmtId="0" fontId="18" fillId="29" borderId="3" xfId="0" applyFont="1" applyFill="1" applyBorder="1" applyAlignment="1">
      <alignment horizontal="center"/>
    </xf>
    <xf numFmtId="0" fontId="7" fillId="18" borderId="10" xfId="0" applyFont="1" applyFill="1" applyBorder="1" applyAlignment="1">
      <alignment horizontal="center" vertical="center"/>
    </xf>
    <xf numFmtId="0" fontId="7" fillId="18" borderId="11" xfId="0" applyFont="1" applyFill="1" applyBorder="1" applyAlignment="1">
      <alignment horizontal="center" vertical="center"/>
    </xf>
    <xf numFmtId="0" fontId="7" fillId="18" borderId="14" xfId="0" applyFont="1" applyFill="1" applyBorder="1" applyAlignment="1">
      <alignment horizontal="center" vertical="center"/>
    </xf>
    <xf numFmtId="0" fontId="15" fillId="11" borderId="10" xfId="1" applyFont="1" applyFill="1" applyBorder="1" applyAlignment="1" applyProtection="1">
      <alignment horizontal="center" vertical="center"/>
      <protection hidden="1"/>
    </xf>
    <xf numFmtId="0" fontId="15" fillId="11" borderId="14" xfId="1" applyFont="1" applyFill="1" applyBorder="1" applyAlignment="1" applyProtection="1">
      <alignment horizontal="center" vertical="center"/>
      <protection hidden="1"/>
    </xf>
    <xf numFmtId="0" fontId="15" fillId="11" borderId="13" xfId="1" applyFont="1" applyFill="1" applyBorder="1" applyAlignment="1" applyProtection="1">
      <alignment horizontal="center" vertical="center"/>
      <protection hidden="1"/>
    </xf>
    <xf numFmtId="0" fontId="15" fillId="11" borderId="12" xfId="1" applyFont="1" applyFill="1" applyBorder="1" applyAlignment="1" applyProtection="1">
      <alignment horizontal="center" vertical="center"/>
      <protection hidden="1"/>
    </xf>
    <xf numFmtId="0" fontId="15" fillId="11" borderId="15" xfId="1" applyFont="1" applyFill="1" applyBorder="1" applyAlignment="1" applyProtection="1">
      <alignment horizontal="center" vertical="center"/>
      <protection hidden="1"/>
    </xf>
    <xf numFmtId="0" fontId="15" fillId="11" borderId="9" xfId="1" applyFont="1" applyFill="1" applyBorder="1" applyAlignment="1" applyProtection="1">
      <alignment horizontal="center" vertical="center"/>
      <protection hidden="1"/>
    </xf>
    <xf numFmtId="0" fontId="15" fillId="11" borderId="3" xfId="1" applyFont="1" applyFill="1" applyBorder="1" applyAlignment="1" applyProtection="1">
      <alignment horizontal="center" vertical="center"/>
      <protection hidden="1"/>
    </xf>
    <xf numFmtId="0" fontId="15" fillId="11" borderId="4" xfId="1" applyFont="1" applyFill="1" applyBorder="1" applyAlignment="1" applyProtection="1">
      <alignment horizontal="center" vertical="center"/>
      <protection hidden="1"/>
    </xf>
    <xf numFmtId="9" fontId="19" fillId="2" borderId="1" xfId="4" applyFont="1" applyFill="1" applyBorder="1" applyAlignment="1">
      <alignment horizontal="center" vertical="center" wrapText="1"/>
    </xf>
    <xf numFmtId="9" fontId="19" fillId="2" borderId="2" xfId="4" applyFont="1" applyFill="1" applyBorder="1" applyAlignment="1">
      <alignment horizontal="center" vertical="center" wrapText="1"/>
    </xf>
    <xf numFmtId="9" fontId="19" fillId="2" borderId="7" xfId="4" applyFont="1" applyFill="1" applyBorder="1" applyAlignment="1">
      <alignment horizontal="center" vertical="center" wrapText="1"/>
    </xf>
    <xf numFmtId="0" fontId="34" fillId="22" borderId="10" xfId="0" applyFont="1" applyFill="1" applyBorder="1" applyAlignment="1">
      <alignment horizontal="left" vertical="center"/>
    </xf>
    <xf numFmtId="0" fontId="34" fillId="22" borderId="11" xfId="0" applyFont="1" applyFill="1" applyBorder="1" applyAlignment="1">
      <alignment horizontal="left" vertical="center"/>
    </xf>
    <xf numFmtId="0" fontId="37" fillId="2" borderId="8" xfId="0" applyFont="1" applyFill="1" applyBorder="1" applyAlignment="1">
      <alignment horizontal="center"/>
    </xf>
    <xf numFmtId="0" fontId="37" fillId="2" borderId="0" xfId="0" applyFont="1" applyFill="1" applyAlignment="1">
      <alignment horizontal="center"/>
    </xf>
    <xf numFmtId="0" fontId="15" fillId="11" borderId="2" xfId="1" applyFont="1" applyFill="1" applyBorder="1" applyAlignment="1" applyProtection="1">
      <alignment horizontal="center" vertical="center"/>
      <protection hidden="1"/>
    </xf>
    <xf numFmtId="0" fontId="15" fillId="11" borderId="7" xfId="1" applyFont="1" applyFill="1" applyBorder="1" applyAlignment="1" applyProtection="1">
      <alignment horizontal="center" vertical="center"/>
      <protection hidden="1"/>
    </xf>
    <xf numFmtId="0" fontId="15" fillId="11" borderId="1" xfId="1" applyFont="1" applyFill="1" applyBorder="1" applyAlignment="1" applyProtection="1">
      <alignment horizontal="center" vertical="center"/>
      <protection hidden="1"/>
    </xf>
    <xf numFmtId="0" fontId="7" fillId="18" borderId="5" xfId="0" applyFont="1" applyFill="1" applyBorder="1" applyAlignment="1">
      <alignment horizontal="center" vertical="center"/>
    </xf>
    <xf numFmtId="9" fontId="19" fillId="4" borderId="13" xfId="4" applyFont="1" applyFill="1" applyBorder="1" applyAlignment="1">
      <alignment horizontal="center" vertical="center" wrapText="1"/>
    </xf>
    <xf numFmtId="9" fontId="19" fillId="4" borderId="12" xfId="4" applyFont="1" applyFill="1" applyBorder="1" applyAlignment="1">
      <alignment horizontal="center" vertical="center" wrapText="1"/>
    </xf>
    <xf numFmtId="9" fontId="19" fillId="4" borderId="15" xfId="4" applyFont="1" applyFill="1" applyBorder="1" applyAlignment="1">
      <alignment horizontal="center" vertical="center" wrapText="1"/>
    </xf>
    <xf numFmtId="9" fontId="19" fillId="4" borderId="8" xfId="4" applyFont="1" applyFill="1" applyBorder="1" applyAlignment="1">
      <alignment horizontal="center" vertical="center" wrapText="1"/>
    </xf>
    <xf numFmtId="9" fontId="19" fillId="4" borderId="0" xfId="4" applyFont="1" applyFill="1" applyBorder="1" applyAlignment="1">
      <alignment horizontal="center" vertical="center" wrapText="1"/>
    </xf>
    <xf numFmtId="9" fontId="19" fillId="4" borderId="6" xfId="4" applyFont="1" applyFill="1" applyBorder="1" applyAlignment="1">
      <alignment horizontal="center" vertical="center" wrapText="1"/>
    </xf>
    <xf numFmtId="9" fontId="19" fillId="4" borderId="9" xfId="4" applyFont="1" applyFill="1" applyBorder="1" applyAlignment="1">
      <alignment horizontal="center" vertical="center" wrapText="1"/>
    </xf>
    <xf numFmtId="9" fontId="19" fillId="4" borderId="3" xfId="4" applyFont="1" applyFill="1" applyBorder="1" applyAlignment="1">
      <alignment horizontal="center" vertical="center" wrapText="1"/>
    </xf>
    <xf numFmtId="9" fontId="19" fillId="4" borderId="4" xfId="4" applyFont="1" applyFill="1" applyBorder="1" applyAlignment="1">
      <alignment horizontal="center" vertical="center" wrapText="1"/>
    </xf>
    <xf numFmtId="0" fontId="19" fillId="12" borderId="15" xfId="0" applyFont="1" applyFill="1" applyBorder="1" applyAlignment="1">
      <alignment horizontal="center" vertical="center" wrapText="1"/>
    </xf>
    <xf numFmtId="0" fontId="19" fillId="12" borderId="6" xfId="0" applyFont="1" applyFill="1" applyBorder="1" applyAlignment="1">
      <alignment horizontal="center" vertical="center" wrapText="1"/>
    </xf>
    <xf numFmtId="3" fontId="16" fillId="10" borderId="1" xfId="0" applyNumberFormat="1" applyFont="1" applyFill="1" applyBorder="1" applyAlignment="1">
      <alignment horizontal="center" vertical="center" wrapText="1"/>
    </xf>
    <xf numFmtId="3" fontId="16" fillId="10" borderId="2" xfId="0" applyNumberFormat="1" applyFont="1" applyFill="1" applyBorder="1" applyAlignment="1">
      <alignment horizontal="center" vertical="center" wrapText="1"/>
    </xf>
    <xf numFmtId="3" fontId="16" fillId="10" borderId="7" xfId="0" applyNumberFormat="1" applyFont="1" applyFill="1" applyBorder="1" applyAlignment="1">
      <alignment horizontal="center" vertical="center" wrapText="1"/>
    </xf>
    <xf numFmtId="0" fontId="7" fillId="18" borderId="13" xfId="0" applyFont="1" applyFill="1" applyBorder="1" applyAlignment="1">
      <alignment horizontal="center" vertical="center"/>
    </xf>
    <xf numFmtId="0" fontId="7" fillId="18" borderId="8" xfId="0" applyFont="1" applyFill="1" applyBorder="1" applyAlignment="1">
      <alignment horizontal="center" vertical="center"/>
    </xf>
    <xf numFmtId="0" fontId="7" fillId="18" borderId="9" xfId="0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horizontal="left" vertical="top" wrapText="1"/>
    </xf>
    <xf numFmtId="0" fontId="19" fillId="2" borderId="12" xfId="0" applyFont="1" applyFill="1" applyBorder="1" applyAlignment="1">
      <alignment horizontal="left" vertical="top" wrapText="1"/>
    </xf>
    <xf numFmtId="0" fontId="19" fillId="2" borderId="15" xfId="0" applyFont="1" applyFill="1" applyBorder="1" applyAlignment="1">
      <alignment horizontal="left" vertical="top" wrapText="1"/>
    </xf>
    <xf numFmtId="0" fontId="19" fillId="2" borderId="8" xfId="0" applyFont="1" applyFill="1" applyBorder="1" applyAlignment="1">
      <alignment horizontal="left" vertical="top" wrapText="1"/>
    </xf>
    <xf numFmtId="0" fontId="19" fillId="2" borderId="6" xfId="0" applyFont="1" applyFill="1" applyBorder="1" applyAlignment="1">
      <alignment horizontal="left" vertical="top" wrapText="1"/>
    </xf>
    <xf numFmtId="0" fontId="19" fillId="2" borderId="9" xfId="0" applyFont="1" applyFill="1" applyBorder="1" applyAlignment="1">
      <alignment horizontal="left" vertical="top" wrapText="1"/>
    </xf>
    <xf numFmtId="0" fontId="19" fillId="2" borderId="3" xfId="0" applyFont="1" applyFill="1" applyBorder="1" applyAlignment="1">
      <alignment horizontal="left" vertical="top" wrapText="1"/>
    </xf>
    <xf numFmtId="0" fontId="19" fillId="2" borderId="4" xfId="0" applyFont="1" applyFill="1" applyBorder="1" applyAlignment="1">
      <alignment horizontal="left" vertical="top" wrapText="1"/>
    </xf>
    <xf numFmtId="0" fontId="31" fillId="3" borderId="3" xfId="1" applyFont="1" applyFill="1" applyBorder="1" applyAlignment="1" applyProtection="1">
      <alignment horizontal="left" vertical="center"/>
      <protection hidden="1"/>
    </xf>
    <xf numFmtId="0" fontId="35" fillId="22" borderId="10" xfId="0" applyFont="1" applyFill="1" applyBorder="1" applyAlignment="1">
      <alignment horizontal="left" vertical="center"/>
    </xf>
    <xf numFmtId="0" fontId="35" fillId="22" borderId="11" xfId="0" applyFont="1" applyFill="1" applyBorder="1" applyAlignment="1">
      <alignment horizontal="left" vertical="center"/>
    </xf>
    <xf numFmtId="0" fontId="13" fillId="18" borderId="10" xfId="1" applyFont="1" applyFill="1" applyBorder="1" applyAlignment="1" applyProtection="1">
      <alignment horizontal="center" vertical="center" wrapText="1"/>
      <protection hidden="1"/>
    </xf>
    <xf numFmtId="0" fontId="13" fillId="18" borderId="11" xfId="1" applyFont="1" applyFill="1" applyBorder="1" applyAlignment="1" applyProtection="1">
      <alignment horizontal="center" vertical="center" wrapText="1"/>
      <protection hidden="1"/>
    </xf>
    <xf numFmtId="0" fontId="15" fillId="2" borderId="1" xfId="1" applyFont="1" applyFill="1" applyBorder="1" applyAlignment="1" applyProtection="1">
      <alignment horizontal="center" vertical="center" wrapText="1"/>
      <protection hidden="1"/>
    </xf>
    <xf numFmtId="0" fontId="15" fillId="2" borderId="2" xfId="1" applyFont="1" applyFill="1" applyBorder="1" applyAlignment="1" applyProtection="1">
      <alignment horizontal="center" vertical="center" wrapText="1"/>
      <protection hidden="1"/>
    </xf>
    <xf numFmtId="0" fontId="15" fillId="2" borderId="7" xfId="1" applyFont="1" applyFill="1" applyBorder="1" applyAlignment="1" applyProtection="1">
      <alignment horizontal="center" vertical="center" wrapText="1"/>
      <protection hidden="1"/>
    </xf>
    <xf numFmtId="0" fontId="15" fillId="20" borderId="10" xfId="0" applyFont="1" applyFill="1" applyBorder="1" applyAlignment="1">
      <alignment horizontal="left" vertical="center" wrapText="1"/>
    </xf>
    <xf numFmtId="0" fontId="15" fillId="20" borderId="11" xfId="0" applyFont="1" applyFill="1" applyBorder="1" applyAlignment="1">
      <alignment horizontal="left" vertical="center" wrapText="1"/>
    </xf>
    <xf numFmtId="0" fontId="7" fillId="18" borderId="12" xfId="0" applyFont="1" applyFill="1" applyBorder="1" applyAlignment="1">
      <alignment horizontal="center" vertical="center"/>
    </xf>
    <xf numFmtId="0" fontId="7" fillId="18" borderId="0" xfId="0" applyFont="1" applyFill="1" applyAlignment="1">
      <alignment horizontal="center" vertical="center"/>
    </xf>
    <xf numFmtId="0" fontId="31" fillId="3" borderId="10" xfId="1" applyFont="1" applyFill="1" applyBorder="1" applyAlignment="1" applyProtection="1">
      <alignment horizontal="left" vertical="center"/>
      <protection hidden="1"/>
    </xf>
    <xf numFmtId="0" fontId="31" fillId="3" borderId="11" xfId="1" applyFont="1" applyFill="1" applyBorder="1" applyAlignment="1" applyProtection="1">
      <alignment horizontal="left" vertical="center"/>
      <protection hidden="1"/>
    </xf>
    <xf numFmtId="0" fontId="31" fillId="3" borderId="9" xfId="1" applyFont="1" applyFill="1" applyBorder="1" applyAlignment="1" applyProtection="1">
      <alignment horizontal="left" vertical="center" wrapText="1"/>
      <protection hidden="1"/>
    </xf>
    <xf numFmtId="0" fontId="31" fillId="3" borderId="3" xfId="1" applyFont="1" applyFill="1" applyBorder="1" applyAlignment="1" applyProtection="1">
      <alignment horizontal="left" vertical="center" wrapText="1"/>
      <protection hidden="1"/>
    </xf>
    <xf numFmtId="0" fontId="31" fillId="3" borderId="4" xfId="1" applyFont="1" applyFill="1" applyBorder="1" applyAlignment="1" applyProtection="1">
      <alignment horizontal="left" vertical="center" wrapText="1"/>
      <protection hidden="1"/>
    </xf>
    <xf numFmtId="0" fontId="7" fillId="9" borderId="1" xfId="0" applyFont="1" applyFill="1" applyBorder="1" applyAlignment="1">
      <alignment horizontal="left" vertical="center"/>
    </xf>
    <xf numFmtId="0" fontId="7" fillId="9" borderId="7" xfId="0" applyFont="1" applyFill="1" applyBorder="1" applyAlignment="1">
      <alignment horizontal="left" vertical="center"/>
    </xf>
    <xf numFmtId="0" fontId="18" fillId="2" borderId="12" xfId="0" applyFont="1" applyFill="1" applyBorder="1" applyAlignment="1">
      <alignment horizontal="left" vertical="top" wrapText="1"/>
    </xf>
    <xf numFmtId="0" fontId="18" fillId="2" borderId="15" xfId="0" applyFont="1" applyFill="1" applyBorder="1" applyAlignment="1">
      <alignment horizontal="left" vertical="top" wrapText="1"/>
    </xf>
    <xf numFmtId="0" fontId="18" fillId="2" borderId="0" xfId="0" applyFont="1" applyFill="1" applyAlignment="1">
      <alignment horizontal="left" vertical="top" wrapText="1"/>
    </xf>
    <xf numFmtId="0" fontId="18" fillId="2" borderId="6" xfId="0" applyFont="1" applyFill="1" applyBorder="1" applyAlignment="1">
      <alignment horizontal="left" vertical="top" wrapText="1"/>
    </xf>
    <xf numFmtId="0" fontId="18" fillId="2" borderId="3" xfId="0" applyFont="1" applyFill="1" applyBorder="1" applyAlignment="1">
      <alignment horizontal="left" vertical="top" wrapText="1"/>
    </xf>
    <xf numFmtId="0" fontId="18" fillId="2" borderId="4" xfId="0" applyFont="1" applyFill="1" applyBorder="1" applyAlignment="1">
      <alignment horizontal="left" vertical="top" wrapText="1"/>
    </xf>
    <xf numFmtId="0" fontId="20" fillId="22" borderId="2" xfId="1" applyFont="1" applyFill="1" applyBorder="1" applyAlignment="1" applyProtection="1">
      <alignment horizontal="center" vertical="center"/>
      <protection hidden="1"/>
    </xf>
    <xf numFmtId="0" fontId="20" fillId="22" borderId="7" xfId="1" applyFont="1" applyFill="1" applyBorder="1" applyAlignment="1" applyProtection="1">
      <alignment horizontal="center" vertical="center"/>
      <protection hidden="1"/>
    </xf>
    <xf numFmtId="0" fontId="20" fillId="11" borderId="2" xfId="1" applyFont="1" applyFill="1" applyBorder="1" applyAlignment="1" applyProtection="1">
      <alignment horizontal="left" vertical="center"/>
      <protection hidden="1"/>
    </xf>
    <xf numFmtId="0" fontId="20" fillId="11" borderId="7" xfId="1" applyFont="1" applyFill="1" applyBorder="1" applyAlignment="1" applyProtection="1">
      <alignment horizontal="left" vertical="center"/>
      <protection hidden="1"/>
    </xf>
    <xf numFmtId="0" fontId="17" fillId="18" borderId="10" xfId="0" applyFont="1" applyFill="1" applyBorder="1" applyAlignment="1">
      <alignment horizontal="center" vertical="center"/>
    </xf>
    <xf numFmtId="0" fontId="17" fillId="18" borderId="14" xfId="0" applyFont="1" applyFill="1" applyBorder="1" applyAlignment="1">
      <alignment horizontal="center" vertical="center"/>
    </xf>
    <xf numFmtId="0" fontId="17" fillId="18" borderId="11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left" vertical="top" wrapText="1"/>
    </xf>
    <xf numFmtId="0" fontId="18" fillId="2" borderId="8" xfId="0" applyFont="1" applyFill="1" applyBorder="1" applyAlignment="1">
      <alignment horizontal="left" vertical="top" wrapText="1"/>
    </xf>
    <xf numFmtId="0" fontId="18" fillId="2" borderId="9" xfId="0" applyFont="1" applyFill="1" applyBorder="1" applyAlignment="1">
      <alignment horizontal="left" vertical="top" wrapText="1"/>
    </xf>
    <xf numFmtId="0" fontId="20" fillId="11" borderId="1" xfId="1" applyFont="1" applyFill="1" applyBorder="1" applyAlignment="1" applyProtection="1">
      <alignment horizontal="left" vertical="center"/>
      <protection hidden="1"/>
    </xf>
    <xf numFmtId="0" fontId="34" fillId="22" borderId="14" xfId="0" applyFont="1" applyFill="1" applyBorder="1" applyAlignment="1">
      <alignment horizontal="left" vertical="center"/>
    </xf>
    <xf numFmtId="0" fontId="14" fillId="19" borderId="10" xfId="0" applyFont="1" applyFill="1" applyBorder="1" applyAlignment="1">
      <alignment horizontal="center" vertical="center" wrapText="1"/>
    </xf>
    <xf numFmtId="0" fontId="14" fillId="19" borderId="11" xfId="0" applyFont="1" applyFill="1" applyBorder="1" applyAlignment="1">
      <alignment horizontal="center" vertical="center" wrapText="1"/>
    </xf>
    <xf numFmtId="0" fontId="15" fillId="28" borderId="1" xfId="1" applyFont="1" applyFill="1" applyBorder="1" applyAlignment="1" applyProtection="1">
      <alignment horizontal="center" vertical="center" wrapText="1"/>
      <protection hidden="1"/>
    </xf>
    <xf numFmtId="0" fontId="15" fillId="28" borderId="2" xfId="1" applyFont="1" applyFill="1" applyBorder="1" applyAlignment="1" applyProtection="1">
      <alignment horizontal="center" vertical="center" wrapText="1"/>
      <protection hidden="1"/>
    </xf>
    <xf numFmtId="0" fontId="15" fillId="28" borderId="7" xfId="1" applyFont="1" applyFill="1" applyBorder="1" applyAlignment="1" applyProtection="1">
      <alignment horizontal="center" vertical="center" wrapText="1"/>
      <protection hidden="1"/>
    </xf>
    <xf numFmtId="0" fontId="34" fillId="22" borderId="6" xfId="0" applyFont="1" applyFill="1" applyBorder="1" applyAlignment="1">
      <alignment horizontal="left" vertical="center"/>
    </xf>
    <xf numFmtId="0" fontId="34" fillId="22" borderId="4" xfId="0" applyFont="1" applyFill="1" applyBorder="1" applyAlignment="1">
      <alignment horizontal="left" vertical="center"/>
    </xf>
    <xf numFmtId="0" fontId="15" fillId="11" borderId="1" xfId="1" applyFont="1" applyFill="1" applyBorder="1" applyAlignment="1" applyProtection="1">
      <alignment horizontal="center" vertical="center" wrapText="1"/>
      <protection hidden="1"/>
    </xf>
    <xf numFmtId="0" fontId="15" fillId="11" borderId="2" xfId="1" applyFont="1" applyFill="1" applyBorder="1" applyAlignment="1" applyProtection="1">
      <alignment horizontal="center" vertical="center" wrapText="1"/>
      <protection hidden="1"/>
    </xf>
    <xf numFmtId="0" fontId="15" fillId="11" borderId="7" xfId="1" applyFont="1" applyFill="1" applyBorder="1" applyAlignment="1" applyProtection="1">
      <alignment horizontal="center" vertical="center" wrapText="1"/>
      <protection hidden="1"/>
    </xf>
    <xf numFmtId="0" fontId="40" fillId="28" borderId="13" xfId="1" applyFont="1" applyFill="1" applyBorder="1" applyAlignment="1">
      <alignment horizontal="center"/>
    </xf>
    <xf numFmtId="0" fontId="40" fillId="28" borderId="12" xfId="1" applyFont="1" applyFill="1" applyBorder="1" applyAlignment="1">
      <alignment horizontal="center"/>
    </xf>
    <xf numFmtId="0" fontId="40" fillId="28" borderId="15" xfId="1" applyFont="1" applyFill="1" applyBorder="1" applyAlignment="1">
      <alignment horizontal="center"/>
    </xf>
    <xf numFmtId="0" fontId="7" fillId="11" borderId="13" xfId="0" applyFont="1" applyFill="1" applyBorder="1" applyAlignment="1">
      <alignment horizontal="left"/>
    </xf>
    <xf numFmtId="0" fontId="7" fillId="11" borderId="12" xfId="0" applyFont="1" applyFill="1" applyBorder="1" applyAlignment="1">
      <alignment horizontal="left"/>
    </xf>
    <xf numFmtId="0" fontId="7" fillId="11" borderId="15" xfId="0" applyFont="1" applyFill="1" applyBorder="1" applyAlignment="1">
      <alignment horizontal="left"/>
    </xf>
    <xf numFmtId="0" fontId="13" fillId="11" borderId="1" xfId="1" applyFont="1" applyFill="1" applyBorder="1" applyAlignment="1" applyProtection="1">
      <alignment horizontal="left" vertical="center"/>
      <protection hidden="1"/>
    </xf>
    <xf numFmtId="0" fontId="13" fillId="11" borderId="7" xfId="1" applyFont="1" applyFill="1" applyBorder="1" applyAlignment="1" applyProtection="1">
      <alignment horizontal="left" vertical="center"/>
      <protection hidden="1"/>
    </xf>
    <xf numFmtId="0" fontId="37" fillId="2" borderId="13" xfId="0" applyFont="1" applyFill="1" applyBorder="1" applyAlignment="1">
      <alignment horizontal="left" vertical="top" wrapText="1"/>
    </xf>
    <xf numFmtId="0" fontId="37" fillId="2" borderId="15" xfId="0" applyFont="1" applyFill="1" applyBorder="1" applyAlignment="1">
      <alignment horizontal="left" vertical="top" wrapText="1"/>
    </xf>
    <xf numFmtId="0" fontId="37" fillId="2" borderId="8" xfId="0" applyFont="1" applyFill="1" applyBorder="1" applyAlignment="1">
      <alignment horizontal="left" vertical="top" wrapText="1"/>
    </xf>
    <xf numFmtId="0" fontId="37" fillId="2" borderId="6" xfId="0" applyFont="1" applyFill="1" applyBorder="1" applyAlignment="1">
      <alignment horizontal="left" vertical="top" wrapText="1"/>
    </xf>
    <xf numFmtId="0" fontId="37" fillId="2" borderId="9" xfId="0" applyFont="1" applyFill="1" applyBorder="1" applyAlignment="1">
      <alignment horizontal="left" vertical="top" wrapText="1"/>
    </xf>
    <xf numFmtId="0" fontId="37" fillId="2" borderId="4" xfId="0" applyFont="1" applyFill="1" applyBorder="1" applyAlignment="1">
      <alignment horizontal="left" vertical="top" wrapText="1"/>
    </xf>
    <xf numFmtId="0" fontId="19" fillId="11" borderId="13" xfId="0" applyFont="1" applyFill="1" applyBorder="1" applyAlignment="1">
      <alignment horizontal="left"/>
    </xf>
    <xf numFmtId="0" fontId="19" fillId="11" borderId="12" xfId="0" applyFont="1" applyFill="1" applyBorder="1" applyAlignment="1">
      <alignment horizontal="left"/>
    </xf>
    <xf numFmtId="0" fontId="19" fillId="11" borderId="15" xfId="0" applyFont="1" applyFill="1" applyBorder="1" applyAlignment="1">
      <alignment horizontal="left"/>
    </xf>
    <xf numFmtId="0" fontId="19" fillId="11" borderId="1" xfId="0" applyFont="1" applyFill="1" applyBorder="1" applyAlignment="1">
      <alignment horizontal="left"/>
    </xf>
    <xf numFmtId="0" fontId="19" fillId="11" borderId="2" xfId="0" applyFont="1" applyFill="1" applyBorder="1" applyAlignment="1">
      <alignment horizontal="left"/>
    </xf>
    <xf numFmtId="0" fontId="19" fillId="11" borderId="7" xfId="0" applyFont="1" applyFill="1" applyBorder="1" applyAlignment="1">
      <alignment horizontal="left"/>
    </xf>
    <xf numFmtId="0" fontId="24" fillId="4" borderId="59" xfId="0" applyFont="1" applyFill="1" applyBorder="1" applyAlignment="1">
      <alignment horizontal="center" vertical="center" wrapText="1"/>
    </xf>
    <xf numFmtId="0" fontId="24" fillId="4" borderId="16" xfId="0" applyFont="1" applyFill="1" applyBorder="1" applyAlignment="1">
      <alignment horizontal="center" vertical="center" wrapText="1"/>
    </xf>
    <xf numFmtId="0" fontId="24" fillId="4" borderId="17" xfId="0" applyFont="1" applyFill="1" applyBorder="1" applyAlignment="1">
      <alignment horizontal="center" vertical="center" wrapText="1"/>
    </xf>
    <xf numFmtId="0" fontId="24" fillId="4" borderId="18" xfId="0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 vertical="center" wrapText="1"/>
    </xf>
    <xf numFmtId="0" fontId="24" fillId="4" borderId="19" xfId="0" applyFont="1" applyFill="1" applyBorder="1" applyAlignment="1">
      <alignment horizontal="center" vertical="center" wrapText="1"/>
    </xf>
    <xf numFmtId="0" fontId="7" fillId="9" borderId="2" xfId="0" applyFont="1" applyFill="1" applyBorder="1" applyAlignment="1">
      <alignment horizontal="left" vertical="center"/>
    </xf>
    <xf numFmtId="0" fontId="19" fillId="11" borderId="13" xfId="0" applyFont="1" applyFill="1" applyBorder="1" applyAlignment="1">
      <alignment horizontal="left" vertical="center" wrapText="1"/>
    </xf>
    <xf numFmtId="0" fontId="19" fillId="11" borderId="12" xfId="0" applyFont="1" applyFill="1" applyBorder="1" applyAlignment="1">
      <alignment horizontal="left" vertical="center"/>
    </xf>
    <xf numFmtId="0" fontId="19" fillId="11" borderId="9" xfId="0" applyFont="1" applyFill="1" applyBorder="1" applyAlignment="1">
      <alignment horizontal="left" vertical="center"/>
    </xf>
    <xf numFmtId="0" fontId="19" fillId="11" borderId="3" xfId="0" applyFont="1" applyFill="1" applyBorder="1" applyAlignment="1">
      <alignment horizontal="left" vertical="center"/>
    </xf>
    <xf numFmtId="44" fontId="7" fillId="21" borderId="10" xfId="5" applyFont="1" applyFill="1" applyBorder="1" applyAlignment="1">
      <alignment horizontal="center" vertical="center"/>
    </xf>
    <xf numFmtId="44" fontId="7" fillId="21" borderId="11" xfId="5" applyFont="1" applyFill="1" applyBorder="1" applyAlignment="1">
      <alignment horizontal="center" vertical="center"/>
    </xf>
    <xf numFmtId="167" fontId="26" fillId="9" borderId="61" xfId="2" applyFill="1" applyBorder="1" applyAlignment="1">
      <alignment horizontal="center"/>
    </xf>
    <xf numFmtId="167" fontId="26" fillId="9" borderId="63" xfId="2" applyFill="1" applyBorder="1" applyAlignment="1">
      <alignment horizontal="center"/>
    </xf>
    <xf numFmtId="167" fontId="26" fillId="9" borderId="62" xfId="2" applyFill="1" applyBorder="1" applyAlignment="1">
      <alignment horizontal="center"/>
    </xf>
  </cellXfs>
  <cellStyles count="7">
    <cellStyle name="Komma" xfId="6" builtinId="3"/>
    <cellStyle name="Komma 2" xfId="3" xr:uid="{FC22E770-EADB-4CEA-BBC7-6784B030484E}"/>
    <cellStyle name="Procent" xfId="4" builtinId="5"/>
    <cellStyle name="Standaard" xfId="0" builtinId="0"/>
    <cellStyle name="Standaard 2" xfId="1" xr:uid="{AAB28D79-052F-4B81-97C3-19E7AEC6B5E3}"/>
    <cellStyle name="Standaard 2 2" xfId="2" xr:uid="{560348D9-77F6-4C78-BD0D-6FB4524CCBE0}"/>
    <cellStyle name="Valuta" xfId="5" builtinId="4"/>
  </cellStyles>
  <dxfs count="272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>
          <bgColor theme="0" tint="-0.3499862666707357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>
          <bgColor theme="0" tint="-0.3499862666707357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FF0000"/>
      </font>
      <fill>
        <patternFill>
          <bgColor theme="0" tint="-0.3499862666707357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>
          <bgColor theme="0" tint="-0.3499862666707357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>
          <bgColor rgb="FFFFFF00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79998168889431442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8" tint="0.79998168889431442"/>
        </patternFill>
      </fill>
    </dxf>
    <dxf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8" tint="0.79998168889431442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/>
        <top style="thin">
          <color auto="1"/>
        </top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right/>
        <bottom/>
      </border>
    </dxf>
    <dxf>
      <fill>
        <patternFill>
          <bgColor theme="8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right/>
        <bottom/>
      </border>
    </dxf>
    <dxf>
      <fill>
        <patternFill>
          <bgColor rgb="FFFFFF00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right/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FFFF00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right/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right/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right/>
        <bottom/>
      </border>
    </dxf>
    <dxf>
      <fill>
        <patternFill>
          <bgColor rgb="FFFFFF00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ont>
        <color rgb="FFFF0000"/>
      </font>
      <fill>
        <patternFill>
          <bgColor theme="0" tint="-0.3499862666707357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>
          <bgColor theme="0" tint="-0.3499862666707357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9" tint="0.39994506668294322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right style="thin">
          <color auto="1"/>
        </right>
        <bottom/>
      </border>
    </dxf>
    <dxf>
      <fill>
        <patternFill>
          <bgColor rgb="FF00B050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ill>
        <patternFill>
          <bgColor rgb="FF00B050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right style="thin">
          <color auto="1"/>
        </right>
        <bottom/>
      </border>
    </dxf>
    <dxf>
      <fill>
        <patternFill>
          <bgColor theme="9" tint="0.39994506668294322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right style="thin">
          <color auto="1"/>
        </right>
        <bottom style="thin">
          <color auto="1"/>
        </bottom>
      </border>
    </dxf>
    <dxf>
      <font>
        <color auto="1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right/>
        <bottom style="thin">
          <color auto="1"/>
        </bottom>
      </border>
    </dxf>
    <dxf>
      <fill>
        <patternFill>
          <bgColor rgb="FF00B050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right/>
        <top style="thin">
          <color auto="1"/>
        </top>
        <bottom style="thin">
          <color auto="1"/>
        </bottom>
      </border>
    </dxf>
    <dxf>
      <fill>
        <patternFill>
          <bgColor theme="9" tint="0.39994506668294322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right/>
        <top style="thin">
          <color auto="1"/>
        </top>
        <bottom style="thin">
          <color auto="1"/>
        </bottom>
      </border>
    </dxf>
    <dxf>
      <fill>
        <patternFill>
          <bgColor theme="9" tint="0.39994506668294322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right style="thin">
          <color auto="1"/>
        </right>
        <bottom/>
      </border>
    </dxf>
    <dxf>
      <fill>
        <patternFill>
          <bgColor rgb="FFFFFF00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8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right/>
        <top style="thin">
          <color auto="1"/>
        </top>
        <bottom style="thin">
          <color auto="1"/>
        </bottom>
      </border>
    </dxf>
    <dxf>
      <fill>
        <patternFill>
          <bgColor theme="9" tint="0.39994506668294322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right/>
        <top style="thin">
          <color auto="1"/>
        </top>
        <bottom style="thin">
          <color auto="1"/>
        </bottom>
      </border>
    </dxf>
    <dxf>
      <fill>
        <patternFill>
          <bgColor theme="9" tint="0.39994506668294322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right/>
        <bottom/>
      </border>
    </dxf>
    <dxf>
      <fill>
        <patternFill>
          <bgColor theme="9" tint="0.39994506668294322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right/>
        <bottom/>
      </border>
    </dxf>
    <dxf>
      <fill>
        <patternFill>
          <bgColor theme="9" tint="0.79998168889431442"/>
        </patternFill>
      </fill>
    </dxf>
    <dxf>
      <font>
        <color rgb="FFFF0000"/>
      </font>
      <fill>
        <patternFill>
          <bgColor theme="0" tint="-0.3499862666707357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</dxf>
    <dxf>
      <font>
        <color rgb="FFFF0000"/>
      </font>
      <fill>
        <patternFill>
          <bgColor theme="0" tint="-0.3499862666707357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FFFF00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right/>
        <bottom/>
      </border>
    </dxf>
    <dxf>
      <fill>
        <patternFill>
          <bgColor theme="9" tint="0.39994506668294322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auto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auto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0745C1"/>
      <color rgb="FFFFFFFF"/>
      <color rgb="FFFF00FF"/>
      <color rgb="FFF8F8F8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571669</xdr:colOff>
      <xdr:row>2</xdr:row>
      <xdr:rowOff>0</xdr:rowOff>
    </xdr:from>
    <xdr:to>
      <xdr:col>12</xdr:col>
      <xdr:colOff>590550</xdr:colOff>
      <xdr:row>128</xdr:row>
      <xdr:rowOff>1</xdr:rowOff>
    </xdr:to>
    <xdr:grpSp>
      <xdr:nvGrpSpPr>
        <xdr:cNvPr id="6" name="Groep 5">
          <a:extLst>
            <a:ext uri="{FF2B5EF4-FFF2-40B4-BE49-F238E27FC236}">
              <a16:creationId xmlns:a16="http://schemas.microsoft.com/office/drawing/2014/main" id="{A803D525-2FEA-27BB-0095-8037A300D6C7}"/>
            </a:ext>
          </a:extLst>
        </xdr:cNvPr>
        <xdr:cNvGrpSpPr/>
      </xdr:nvGrpSpPr>
      <xdr:grpSpPr>
        <a:xfrm>
          <a:off x="571669" y="299357"/>
          <a:ext cx="7366738" cy="18859501"/>
          <a:chOff x="571669" y="299357"/>
          <a:chExt cx="7366738" cy="18859501"/>
        </a:xfrm>
      </xdr:grpSpPr>
      <xdr:pic>
        <xdr:nvPicPr>
          <xdr:cNvPr id="3" name="Afbeelding 2">
            <a:extLst>
              <a:ext uri="{FF2B5EF4-FFF2-40B4-BE49-F238E27FC236}">
                <a16:creationId xmlns:a16="http://schemas.microsoft.com/office/drawing/2014/main" id="{A269F425-7F40-40EC-B3BC-8D420B7FC0D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32213" t="9377" r="45400" b="56109"/>
          <a:stretch/>
        </xdr:blipFill>
        <xdr:spPr>
          <a:xfrm>
            <a:off x="571669" y="299357"/>
            <a:ext cx="7366738" cy="9505772"/>
          </a:xfrm>
          <a:prstGeom prst="rect">
            <a:avLst/>
          </a:prstGeom>
        </xdr:spPr>
      </xdr:pic>
      <xdr:pic>
        <xdr:nvPicPr>
          <xdr:cNvPr id="5" name="Afbeelding 4">
            <a:extLst>
              <a:ext uri="{FF2B5EF4-FFF2-40B4-BE49-F238E27FC236}">
                <a16:creationId xmlns:a16="http://schemas.microsoft.com/office/drawing/2014/main" id="{21CF2779-659C-133B-21B4-E771CAC0ECD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30229" t="20830" r="25508" b="8879"/>
          <a:stretch/>
        </xdr:blipFill>
        <xdr:spPr>
          <a:xfrm>
            <a:off x="585107" y="9837965"/>
            <a:ext cx="7252607" cy="9320893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FECE5-E07F-4653-B213-2DDEE41620F1}">
  <sheetPr codeName="Blad1">
    <tabColor theme="9"/>
  </sheetPr>
  <dimension ref="A1"/>
  <sheetViews>
    <sheetView zoomScale="70" zoomScaleNormal="70" workbookViewId="0">
      <selection activeCell="AA72" sqref="AA72"/>
    </sheetView>
  </sheetViews>
  <sheetFormatPr defaultColWidth="9.140625" defaultRowHeight="12"/>
  <cols>
    <col min="1" max="5" width="9.140625" style="1"/>
    <col min="6" max="6" width="9.140625" style="1" customWidth="1"/>
    <col min="7" max="16384" width="9.140625" style="1"/>
  </cols>
  <sheetData/>
  <sheetProtection algorithmName="SHA-512" hashValue="WHV3oNyhunUeKxe7BqQTSwhhstQqyA5hCU1IP8UnUAXQs/yWTbKYnjvPXOKYZtaaBq1Y6p2TcMzEmZDoEjfl8w==" saltValue="oH57G2xzCEIghNezQkLSvg==" spinCount="100000" sheet="1" objects="1" scenarios="1"/>
  <pageMargins left="0.7" right="0.7" top="0.75" bottom="0.75" header="0.3" footer="0.3"/>
  <headerFooter>
    <oddFooter>&amp;L_x000D_&amp;1#&amp;"Calibri"&amp;10&amp;K000000 Intern gebruik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840A9-96FA-44A3-8E89-545BA45F5AF7}">
  <sheetPr codeName="Blad4">
    <tabColor theme="7" tint="0.79998168889431442"/>
  </sheetPr>
  <dimension ref="B3:H91"/>
  <sheetViews>
    <sheetView zoomScale="70" zoomScaleNormal="70" workbookViewId="0">
      <selection activeCell="D63" sqref="D63"/>
    </sheetView>
  </sheetViews>
  <sheetFormatPr defaultColWidth="9.140625" defaultRowHeight="15"/>
  <cols>
    <col min="1" max="2" width="9.140625" style="230"/>
    <col min="3" max="3" width="201.140625" style="230" bestFit="1" customWidth="1"/>
    <col min="4" max="4" width="35.5703125" style="230" customWidth="1"/>
    <col min="5" max="16384" width="9.140625" style="230"/>
  </cols>
  <sheetData>
    <row r="3" spans="2:8" ht="60" customHeight="1">
      <c r="B3" s="444" t="s">
        <v>613</v>
      </c>
      <c r="C3" s="445"/>
      <c r="D3" s="445"/>
      <c r="E3" s="445"/>
      <c r="F3" s="446"/>
    </row>
    <row r="4" spans="2:8">
      <c r="B4" s="43"/>
      <c r="C4" s="1"/>
      <c r="D4" s="1"/>
      <c r="E4" s="1"/>
      <c r="F4" s="44"/>
    </row>
    <row r="5" spans="2:8" ht="23.25">
      <c r="B5" s="43"/>
      <c r="C5" s="19" t="s">
        <v>615</v>
      </c>
      <c r="D5" s="262">
        <v>0</v>
      </c>
      <c r="E5" s="1"/>
      <c r="F5" s="44"/>
    </row>
    <row r="6" spans="2:8" ht="23.25">
      <c r="B6" s="43"/>
      <c r="C6" s="19" t="s">
        <v>614</v>
      </c>
      <c r="D6" s="263">
        <f>DASHBOARD!D28</f>
        <v>0</v>
      </c>
      <c r="E6" s="1"/>
      <c r="F6" s="44"/>
      <c r="H6" s="52" t="str">
        <f>IF(D6&lt;30%,"* Percentage bedraagt maximaal 30% van de Rijksbijdrage, percentage is goed ",IF(D6=30%,"* Percentage bedraagt maximaal 30% van de Rijksbijdrage, percentage is goed",IF(D6&gt;30%,"* Percentage bedraagt maximaal 30% van de Rijksbijdrage, percentage is te hoog","")))</f>
        <v xml:space="preserve">* Percentage bedraagt maximaal 30% van de Rijksbijdrage, percentage is goed </v>
      </c>
    </row>
    <row r="7" spans="2:8">
      <c r="B7" s="232"/>
      <c r="C7" s="233"/>
      <c r="F7" s="234"/>
    </row>
    <row r="8" spans="2:8" ht="20.25">
      <c r="B8" s="232"/>
      <c r="C8" s="447" t="s">
        <v>418</v>
      </c>
      <c r="D8" s="448"/>
      <c r="F8" s="234"/>
    </row>
    <row r="9" spans="2:8" ht="15" customHeight="1">
      <c r="B9" s="232"/>
      <c r="C9" s="449"/>
      <c r="D9" s="450"/>
      <c r="F9" s="234"/>
    </row>
    <row r="10" spans="2:8" ht="15" customHeight="1">
      <c r="B10" s="232"/>
      <c r="C10" s="451"/>
      <c r="D10" s="452"/>
      <c r="F10" s="234"/>
    </row>
    <row r="11" spans="2:8" ht="15" customHeight="1">
      <c r="B11" s="232"/>
      <c r="C11" s="451"/>
      <c r="D11" s="452"/>
      <c r="F11" s="234"/>
    </row>
    <row r="12" spans="2:8" ht="15" customHeight="1">
      <c r="B12" s="232"/>
      <c r="C12" s="451"/>
      <c r="D12" s="452"/>
      <c r="F12" s="234"/>
    </row>
    <row r="13" spans="2:8" ht="15" customHeight="1">
      <c r="B13" s="232"/>
      <c r="C13" s="451"/>
      <c r="D13" s="452"/>
      <c r="F13" s="234"/>
    </row>
    <row r="14" spans="2:8" ht="15" customHeight="1">
      <c r="B14" s="232"/>
      <c r="C14" s="451"/>
      <c r="D14" s="452"/>
      <c r="F14" s="234"/>
    </row>
    <row r="15" spans="2:8" ht="15" customHeight="1">
      <c r="B15" s="232"/>
      <c r="C15" s="451"/>
      <c r="D15" s="452"/>
      <c r="F15" s="234"/>
    </row>
    <row r="16" spans="2:8" ht="15" customHeight="1">
      <c r="B16" s="232"/>
      <c r="C16" s="451"/>
      <c r="D16" s="452"/>
      <c r="F16" s="234"/>
    </row>
    <row r="17" spans="2:6" ht="15" customHeight="1">
      <c r="B17" s="232"/>
      <c r="C17" s="451"/>
      <c r="D17" s="452"/>
      <c r="F17" s="234"/>
    </row>
    <row r="18" spans="2:6" ht="15" customHeight="1">
      <c r="B18" s="232"/>
      <c r="C18" s="451"/>
      <c r="D18" s="452"/>
      <c r="F18" s="234"/>
    </row>
    <row r="19" spans="2:6" ht="15" customHeight="1">
      <c r="B19" s="232"/>
      <c r="C19" s="451"/>
      <c r="D19" s="452"/>
      <c r="F19" s="234"/>
    </row>
    <row r="20" spans="2:6" ht="15" customHeight="1">
      <c r="B20" s="232"/>
      <c r="C20" s="451"/>
      <c r="D20" s="452"/>
      <c r="F20" s="234"/>
    </row>
    <row r="21" spans="2:6" ht="15" customHeight="1">
      <c r="B21" s="232"/>
      <c r="C21" s="451"/>
      <c r="D21" s="452"/>
      <c r="F21" s="234"/>
    </row>
    <row r="22" spans="2:6" ht="15" customHeight="1">
      <c r="B22" s="232"/>
      <c r="C22" s="451"/>
      <c r="D22" s="452"/>
      <c r="F22" s="234"/>
    </row>
    <row r="23" spans="2:6" ht="15" customHeight="1">
      <c r="B23" s="232"/>
      <c r="C23" s="451"/>
      <c r="D23" s="452"/>
      <c r="F23" s="234"/>
    </row>
    <row r="24" spans="2:6" ht="15" customHeight="1">
      <c r="B24" s="232"/>
      <c r="C24" s="451"/>
      <c r="D24" s="452"/>
      <c r="F24" s="234"/>
    </row>
    <row r="25" spans="2:6" ht="15" customHeight="1">
      <c r="B25" s="232"/>
      <c r="C25" s="451"/>
      <c r="D25" s="452"/>
      <c r="F25" s="234"/>
    </row>
    <row r="26" spans="2:6" ht="15" customHeight="1">
      <c r="B26" s="232"/>
      <c r="C26" s="451"/>
      <c r="D26" s="452"/>
      <c r="F26" s="234"/>
    </row>
    <row r="27" spans="2:6" ht="15" customHeight="1">
      <c r="B27" s="232"/>
      <c r="C27" s="451"/>
      <c r="D27" s="452"/>
      <c r="F27" s="234"/>
    </row>
    <row r="28" spans="2:6" ht="15" customHeight="1">
      <c r="B28" s="232"/>
      <c r="C28" s="451"/>
      <c r="D28" s="452"/>
      <c r="F28" s="234"/>
    </row>
    <row r="29" spans="2:6" ht="15" customHeight="1">
      <c r="B29" s="232"/>
      <c r="C29" s="453"/>
      <c r="D29" s="454"/>
      <c r="F29" s="234"/>
    </row>
    <row r="30" spans="2:6" ht="15" customHeight="1">
      <c r="B30" s="232"/>
      <c r="F30" s="234"/>
    </row>
    <row r="31" spans="2:6" ht="15" customHeight="1">
      <c r="B31" s="232"/>
      <c r="F31" s="234"/>
    </row>
    <row r="32" spans="2:6" ht="15" customHeight="1">
      <c r="B32" s="45"/>
      <c r="C32" s="231"/>
      <c r="D32" s="231"/>
      <c r="E32" s="42"/>
      <c r="F32" s="46"/>
    </row>
    <row r="33" ht="15" customHeight="1"/>
    <row r="34" ht="23.25" customHeight="1"/>
    <row r="35" ht="15" customHeight="1"/>
    <row r="36" ht="23.25" customHeight="1"/>
    <row r="37" ht="23.2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6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</sheetData>
  <sheetProtection algorithmName="SHA-512" hashValue="PEtQGiEpELsArGuvtUMhqehClr5mWAIHPLANI0rm4rYf9n5LV4anfT699P7paS6xVKcuk5wa5gXX129399leZg==" saltValue="gnvsko1Re5GWVkvetwO2KQ==" spinCount="100000" sheet="1" objects="1" scenarios="1"/>
  <protectedRanges>
    <protectedRange sqref="D5 D36 D67" name="Bereik2"/>
    <protectedRange sqref="C9 C40 C71" name="invullen transformatie"/>
  </protectedRanges>
  <mergeCells count="3">
    <mergeCell ref="B3:F3"/>
    <mergeCell ref="C8:D8"/>
    <mergeCell ref="C9:D29"/>
  </mergeCells>
  <conditionalFormatting sqref="C9">
    <cfRule type="notContainsBlanks" dxfId="52" priority="8">
      <formula>LEN(TRIM(C9))&gt;0</formula>
    </cfRule>
  </conditionalFormatting>
  <conditionalFormatting sqref="D5">
    <cfRule type="cellIs" dxfId="51" priority="1" operator="equal">
      <formula>0</formula>
    </cfRule>
    <cfRule type="cellIs" dxfId="50" priority="2" operator="lessThan">
      <formula>0</formula>
    </cfRule>
    <cfRule type="cellIs" dxfId="49" priority="3" operator="greaterThan">
      <formula>0</formula>
    </cfRule>
  </conditionalFormatting>
  <conditionalFormatting sqref="D6">
    <cfRule type="cellIs" dxfId="48" priority="4" operator="greaterThan">
      <formula>0.3</formula>
    </cfRule>
    <cfRule type="cellIs" dxfId="47" priority="5" operator="lessThanOrEqual">
      <formula>0.3</formula>
    </cfRule>
  </conditionalFormatting>
  <pageMargins left="0.7" right="0.7" top="0.75" bottom="0.75" header="0.3" footer="0.3"/>
  <pageSetup paperSize="9" orientation="portrait" r:id="rId1"/>
  <headerFooter>
    <oddFooter>&amp;L_x000D_&amp;1#&amp;"Calibri"&amp;10&amp;K000000 Intern gebruik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101CE-0474-44E3-A486-E686A2C27C7E}">
  <sheetPr codeName="Blad11">
    <tabColor rgb="FF00B050"/>
  </sheetPr>
  <dimension ref="B3:AH100"/>
  <sheetViews>
    <sheetView tabSelected="1" zoomScale="70" zoomScaleNormal="70" workbookViewId="0">
      <selection activeCell="D13" sqref="D13"/>
    </sheetView>
  </sheetViews>
  <sheetFormatPr defaultColWidth="9.140625" defaultRowHeight="12"/>
  <cols>
    <col min="1" max="1" width="9.140625" style="1"/>
    <col min="2" max="2" width="9.140625" style="1" customWidth="1"/>
    <col min="3" max="3" width="122.140625" style="1" customWidth="1"/>
    <col min="4" max="4" width="45.5703125" style="1" customWidth="1"/>
    <col min="5" max="5" width="14.7109375" style="1" customWidth="1"/>
    <col min="6" max="6" width="8.7109375" style="1" customWidth="1"/>
    <col min="7" max="7" width="9.140625" style="1"/>
    <col min="8" max="8" width="11.28515625" style="1" customWidth="1"/>
    <col min="9" max="9" width="51.28515625" style="1" bestFit="1" customWidth="1"/>
    <col min="10" max="10" width="44.42578125" style="1" customWidth="1"/>
    <col min="11" max="11" width="38.7109375" style="1" customWidth="1"/>
    <col min="12" max="14" width="9.140625" style="1"/>
    <col min="15" max="15" width="16" style="1" customWidth="1"/>
    <col min="16" max="16" width="63.85546875" style="1" bestFit="1" customWidth="1"/>
    <col min="17" max="17" width="45.28515625" style="1" customWidth="1"/>
    <col min="18" max="18" width="24.140625" style="1" customWidth="1"/>
    <col min="19" max="21" width="9.140625" style="1"/>
    <col min="22" max="22" width="17.85546875" style="1" customWidth="1"/>
    <col min="23" max="23" width="67.28515625" style="1" bestFit="1" customWidth="1"/>
    <col min="24" max="24" width="39.28515625" style="1" bestFit="1" customWidth="1"/>
    <col min="25" max="28" width="9.140625" style="1"/>
    <col min="29" max="29" width="9.140625" style="1" customWidth="1"/>
    <col min="30" max="30" width="100.42578125" style="1" bestFit="1" customWidth="1"/>
    <col min="31" max="31" width="40.140625" style="1" bestFit="1" customWidth="1"/>
    <col min="32" max="16384" width="9.140625" style="1"/>
  </cols>
  <sheetData>
    <row r="3" spans="2:12" ht="23.25">
      <c r="B3" s="458" t="s">
        <v>370</v>
      </c>
      <c r="C3" s="459"/>
      <c r="D3" s="459"/>
      <c r="E3" s="459"/>
      <c r="F3" s="460"/>
      <c r="G3" s="10"/>
      <c r="H3" s="10"/>
      <c r="I3" s="10"/>
      <c r="J3" s="10"/>
      <c r="K3" s="10"/>
      <c r="L3" s="53"/>
    </row>
    <row r="4" spans="2:12">
      <c r="B4" s="43"/>
      <c r="L4" s="44"/>
    </row>
    <row r="5" spans="2:12">
      <c r="B5" s="43"/>
      <c r="L5" s="44"/>
    </row>
    <row r="6" spans="2:12" ht="24" thickBot="1">
      <c r="B6" s="43"/>
      <c r="C6" s="411" t="s">
        <v>402</v>
      </c>
      <c r="D6" s="412" t="e">
        <f>'Sloop-nieuwbouw plannen'!#REF!</f>
        <v>#REF!</v>
      </c>
      <c r="L6" s="44"/>
    </row>
    <row r="7" spans="2:12" ht="33.75" customHeight="1">
      <c r="B7" s="43"/>
      <c r="C7" s="19" t="s">
        <v>4</v>
      </c>
      <c r="D7" s="21" t="str">
        <f>START!$D$6</f>
        <v>[selecteer]</v>
      </c>
      <c r="E7" s="52" t="str">
        <f>IF(D7='Type gebied'!B2,"* Kies naam op tab START","")</f>
        <v>* Kies naam op tab START</v>
      </c>
      <c r="I7" s="461" t="str">
        <f>IF(NOT(SUM(KENGETALLEN!D32:I32,KENGETALLEN!D36:I36,KENGETALLEN!D61:H61,KENGETALLEN!D65:H65,KENGETALLEN!D69:H69,KENGETALLEN!D73:H73,KENGETALLEN!D77:H77,KENGETALLEN!D81:H81,KENGETALLEN!D85:H85,KENGETALLEN!D89:H89,KENGETALLEN!E117:E123)=0),"Er is afgeweken van de kengetallen. 
Zie gele cellen op tabblad 'KENGETALLEN'","")</f>
        <v/>
      </c>
      <c r="J7" s="462"/>
      <c r="K7" s="463"/>
      <c r="L7" s="44"/>
    </row>
    <row r="8" spans="2:12" ht="23.25">
      <c r="B8" s="43"/>
      <c r="C8" s="19" t="s">
        <v>412</v>
      </c>
      <c r="D8" s="20" t="str">
        <f>START!$D$8</f>
        <v>[selecteer]</v>
      </c>
      <c r="E8" s="52" t="str">
        <f>IF(D8='Type gebied'!B2,"* Kies type op tab START","")</f>
        <v>* Kies type op tab START</v>
      </c>
      <c r="I8" s="464"/>
      <c r="J8" s="465"/>
      <c r="K8" s="466"/>
      <c r="L8" s="44"/>
    </row>
    <row r="9" spans="2:12" ht="46.5">
      <c r="B9" s="43"/>
      <c r="C9" s="19" t="s">
        <v>408</v>
      </c>
      <c r="D9" s="254" t="s">
        <v>582</v>
      </c>
      <c r="E9" s="103"/>
      <c r="I9" s="464"/>
      <c r="J9" s="465"/>
      <c r="K9" s="466"/>
      <c r="L9" s="44"/>
    </row>
    <row r="10" spans="2:12" ht="12" customHeight="1">
      <c r="B10" s="43"/>
      <c r="I10" s="464"/>
      <c r="J10" s="465"/>
      <c r="K10" s="466"/>
      <c r="L10" s="44"/>
    </row>
    <row r="11" spans="2:12" ht="12" customHeight="1">
      <c r="B11" s="43"/>
      <c r="I11" s="464"/>
      <c r="J11" s="465"/>
      <c r="K11" s="466"/>
      <c r="L11" s="44"/>
    </row>
    <row r="12" spans="2:12">
      <c r="B12" s="43"/>
      <c r="I12" s="464"/>
      <c r="J12" s="465"/>
      <c r="K12" s="466"/>
      <c r="L12" s="44"/>
    </row>
    <row r="13" spans="2:12" ht="23.25">
      <c r="B13" s="43"/>
      <c r="C13" s="19" t="s">
        <v>550</v>
      </c>
      <c r="D13" s="51">
        <v>11399600</v>
      </c>
      <c r="I13" s="464"/>
      <c r="J13" s="465"/>
      <c r="K13" s="466"/>
      <c r="L13" s="44"/>
    </row>
    <row r="14" spans="2:12" ht="23.25">
      <c r="B14" s="43"/>
      <c r="C14" s="219" t="s">
        <v>536</v>
      </c>
      <c r="D14" s="252">
        <v>0.3</v>
      </c>
      <c r="E14" s="52" t="str">
        <f>IF(D14&lt;30%,"* Percentage cofinanciering gemeente moet minimaal 30% van het financieel tekort bedragen, percentage is te laag ",IF(D14=30%,"* Percentage cofinanciering gemeente moet minimaal 30% van het financieel tekort bedragen, percentage is goed",IF(D14&gt;30%,"* Percentage cofinanciering gemeente moet minimaal 30% van het financieel tekort bedragen, percentage isgoed","")))</f>
        <v>* Percentage cofinanciering gemeente moet minimaal 30% van het financieel tekort bedragen, percentage is goed</v>
      </c>
      <c r="L14" s="44"/>
    </row>
    <row r="15" spans="2:12">
      <c r="B15" s="43"/>
      <c r="L15" s="44"/>
    </row>
    <row r="16" spans="2:12" ht="23.25">
      <c r="B16" s="43"/>
      <c r="C16" s="411" t="s">
        <v>401</v>
      </c>
      <c r="D16" s="412" t="e">
        <f>'Sloop-nieuwbouw plannen'!#REF!</f>
        <v>#REF!</v>
      </c>
      <c r="H16" s="411" t="s">
        <v>548</v>
      </c>
      <c r="I16" s="467"/>
      <c r="J16" s="467"/>
      <c r="K16" s="412"/>
      <c r="L16" s="44"/>
    </row>
    <row r="17" spans="2:34" ht="23.25">
      <c r="B17" s="43"/>
      <c r="C17" s="49" t="s">
        <v>400</v>
      </c>
      <c r="D17" s="125">
        <f>-SUM(D60,D70)</f>
        <v>0</v>
      </c>
      <c r="H17" s="468" t="s">
        <v>623</v>
      </c>
      <c r="I17" s="469"/>
      <c r="J17" s="469"/>
      <c r="K17" s="472">
        <f>Btw!D8</f>
        <v>0</v>
      </c>
      <c r="L17" s="44"/>
    </row>
    <row r="18" spans="2:34" ht="23.25">
      <c r="B18" s="43"/>
      <c r="C18" s="49" t="s">
        <v>523</v>
      </c>
      <c r="D18" s="125">
        <f>-SUM(J54,J61)</f>
        <v>0</v>
      </c>
      <c r="H18" s="470"/>
      <c r="I18" s="471"/>
      <c r="J18" s="471"/>
      <c r="K18" s="473"/>
      <c r="L18" s="44"/>
    </row>
    <row r="19" spans="2:34" ht="23.25">
      <c r="B19" s="43"/>
      <c r="C19" s="49" t="s">
        <v>449</v>
      </c>
      <c r="D19" s="125">
        <f>-SUM(Q40,Q48,Q56,Q64,Q72,Q81,Q90,Q99)</f>
        <v>0</v>
      </c>
      <c r="L19" s="44"/>
    </row>
    <row r="20" spans="2:34" ht="23.25">
      <c r="B20" s="43"/>
      <c r="C20" s="49" t="s">
        <v>450</v>
      </c>
      <c r="D20" s="125">
        <f>-SUM(X40)</f>
        <v>0</v>
      </c>
      <c r="L20" s="44"/>
    </row>
    <row r="21" spans="2:34" ht="23.45" customHeight="1">
      <c r="B21" s="43"/>
      <c r="C21" s="49" t="s">
        <v>551</v>
      </c>
      <c r="D21" s="125">
        <f>-SUM(AE41)</f>
        <v>0</v>
      </c>
      <c r="L21" s="44"/>
      <c r="P21" s="261"/>
    </row>
    <row r="22" spans="2:34">
      <c r="L22" s="44"/>
      <c r="P22" s="261"/>
    </row>
    <row r="23" spans="2:34" ht="21" customHeight="1">
      <c r="B23" s="43"/>
      <c r="C23" s="19" t="s">
        <v>610</v>
      </c>
      <c r="D23" s="50">
        <f>(D17+D18+D19+D20+D21)</f>
        <v>0</v>
      </c>
      <c r="L23" s="44"/>
      <c r="P23" s="261"/>
    </row>
    <row r="24" spans="2:34" ht="21" customHeight="1">
      <c r="B24" s="43"/>
      <c r="C24" s="19" t="s">
        <v>611</v>
      </c>
      <c r="D24" s="50">
        <f>'Secundaire activiteiten'!D5</f>
        <v>0</v>
      </c>
      <c r="L24" s="44"/>
      <c r="P24" s="261"/>
    </row>
    <row r="25" spans="2:34" ht="21" customHeight="1">
      <c r="B25" s="43"/>
      <c r="C25" s="19" t="s">
        <v>612</v>
      </c>
      <c r="D25" s="50">
        <f>D23+D24</f>
        <v>0</v>
      </c>
      <c r="L25" s="44"/>
      <c r="P25" s="261"/>
    </row>
    <row r="26" spans="2:34" ht="23.25">
      <c r="B26" s="43"/>
      <c r="C26" s="19" t="s">
        <v>347</v>
      </c>
      <c r="D26" s="50">
        <f>(D25*D14)</f>
        <v>0</v>
      </c>
      <c r="L26" s="44"/>
      <c r="P26" s="261"/>
    </row>
    <row r="27" spans="2:34" ht="20.45" customHeight="1">
      <c r="B27" s="43"/>
      <c r="C27" s="19" t="s">
        <v>451</v>
      </c>
      <c r="D27" s="50">
        <f>D25-D26</f>
        <v>0</v>
      </c>
      <c r="E27" s="52" t="str">
        <f>IF(D27&gt;D13,"   *   Bedrag aanvraag is te hoog","")</f>
        <v/>
      </c>
      <c r="L27" s="44"/>
      <c r="P27" s="261"/>
    </row>
    <row r="28" spans="2:34" ht="23.25">
      <c r="B28" s="43"/>
      <c r="C28" s="19" t="s">
        <v>547</v>
      </c>
      <c r="D28" s="220">
        <f>IF(D26=0,0,(D24)/DASHBOARD!D25)</f>
        <v>0</v>
      </c>
      <c r="E28" s="52" t="str">
        <f>IF(D28&lt;30%,"* Percentage bedraagt maximaal 30% van de Rijksbijdrage, percentage is goed ",IF(D28=30%,"* Percentage bedraagt maximaal 30% van de Rijksbijdrage, percentage is goed",IF(D28&gt;30%,"* Percentage bedraagt maximaal 30% van de Rijksbijdrage, percentage is te hoog","")))</f>
        <v xml:space="preserve">* Percentage bedraagt maximaal 30% van de Rijksbijdrage, percentage is goed </v>
      </c>
      <c r="L28" s="44"/>
      <c r="P28" s="261"/>
    </row>
    <row r="29" spans="2:34">
      <c r="B29" s="45"/>
      <c r="C29" s="42"/>
      <c r="D29" s="42"/>
      <c r="E29" s="42"/>
      <c r="F29" s="42"/>
      <c r="G29" s="42"/>
      <c r="H29" s="42"/>
      <c r="I29" s="42"/>
      <c r="J29" s="42"/>
      <c r="K29" s="42"/>
      <c r="L29" s="46"/>
    </row>
    <row r="32" spans="2:34" ht="23.25">
      <c r="B32" s="455" t="s">
        <v>400</v>
      </c>
      <c r="C32" s="456"/>
      <c r="D32" s="456"/>
      <c r="E32" s="456"/>
      <c r="F32" s="457"/>
      <c r="H32" s="455" t="s">
        <v>523</v>
      </c>
      <c r="I32" s="456"/>
      <c r="J32" s="456"/>
      <c r="K32" s="456"/>
      <c r="L32" s="456"/>
      <c r="M32" s="457"/>
      <c r="O32" s="455" t="s">
        <v>449</v>
      </c>
      <c r="P32" s="456"/>
      <c r="Q32" s="456"/>
      <c r="R32" s="456"/>
      <c r="S32" s="456"/>
      <c r="T32" s="457"/>
      <c r="V32" s="455" t="s">
        <v>450</v>
      </c>
      <c r="W32" s="456"/>
      <c r="X32" s="456"/>
      <c r="Y32" s="456"/>
      <c r="Z32" s="456"/>
      <c r="AA32" s="457"/>
      <c r="AC32" s="455" t="s">
        <v>551</v>
      </c>
      <c r="AD32" s="456"/>
      <c r="AE32" s="456"/>
      <c r="AF32" s="456"/>
      <c r="AG32" s="456"/>
      <c r="AH32" s="457"/>
    </row>
    <row r="33" spans="2:34">
      <c r="B33" s="43"/>
      <c r="F33" s="44"/>
      <c r="H33" s="43"/>
      <c r="M33" s="44"/>
      <c r="O33" s="43"/>
      <c r="T33" s="44"/>
      <c r="V33" s="43"/>
      <c r="AA33" s="44"/>
      <c r="AC33" s="43"/>
      <c r="AH33" s="44"/>
    </row>
    <row r="34" spans="2:34" ht="23.25">
      <c r="B34" s="43"/>
      <c r="C34" s="19" t="s">
        <v>521</v>
      </c>
      <c r="D34" s="22" t="e">
        <f>'Sloop-nieuwbouw plannen'!D76</f>
        <v>#DIV/0!</v>
      </c>
      <c r="F34" s="44"/>
      <c r="H34" s="43"/>
      <c r="I34" s="19" t="s">
        <v>521</v>
      </c>
      <c r="J34" s="22" t="e">
        <f>Verduurzamingsplannen!D100</f>
        <v>#DIV/0!</v>
      </c>
      <c r="M34" s="44"/>
      <c r="O34" s="43"/>
      <c r="P34" s="411" t="str">
        <f>'Maatwerk woningverbeteren'!C186</f>
        <v>Uitbreiding (uitbouw met woonfunctie)</v>
      </c>
      <c r="Q34" s="412"/>
      <c r="T34" s="44"/>
      <c r="V34" s="43"/>
      <c r="W34" s="411" t="str">
        <f>'Maatwerk transformatie'!C86</f>
        <v>Maatwerk transformatie</v>
      </c>
      <c r="X34" s="412"/>
      <c r="AA34" s="44"/>
      <c r="AC34" s="43"/>
      <c r="AD34" s="411" t="s">
        <v>551</v>
      </c>
      <c r="AE34" s="412"/>
      <c r="AH34" s="44"/>
    </row>
    <row r="35" spans="2:34" ht="23.25">
      <c r="B35" s="43"/>
      <c r="C35" s="19" t="s">
        <v>522</v>
      </c>
      <c r="D35" s="22" t="e">
        <f>'Sloop-nieuwbouw plannen'!D77</f>
        <v>#DIV/0!</v>
      </c>
      <c r="F35" s="44"/>
      <c r="H35" s="43"/>
      <c r="I35" s="19" t="s">
        <v>522</v>
      </c>
      <c r="J35" s="22" t="e">
        <f>Verduurzamingsplannen!D101</f>
        <v>#DIV/0!</v>
      </c>
      <c r="M35" s="44"/>
      <c r="O35" s="43"/>
      <c r="P35" s="19" t="str">
        <f>'Maatwerk woningverbeteren'!C187</f>
        <v>Kosten (totaal)</v>
      </c>
      <c r="Q35" s="23" t="e">
        <f>'Maatwerk woningverbeteren'!D187</f>
        <v>#VALUE!</v>
      </c>
      <c r="T35" s="44"/>
      <c r="V35" s="43"/>
      <c r="W35" s="19" t="str">
        <f>'Maatwerk transformatie'!C87</f>
        <v>Kosten (totaal)</v>
      </c>
      <c r="X35" s="23">
        <f>'Maatwerk transformatie'!D87</f>
        <v>0</v>
      </c>
      <c r="AA35" s="44"/>
      <c r="AC35" s="43"/>
      <c r="AD35" s="19" t="str">
        <f>Inponden!D4</f>
        <v>Kosten totaal</v>
      </c>
      <c r="AE35" s="23">
        <f>Inponden!E4</f>
        <v>0</v>
      </c>
      <c r="AH35" s="44"/>
    </row>
    <row r="36" spans="2:34" ht="23.25">
      <c r="B36" s="43"/>
      <c r="F36" s="44"/>
      <c r="H36" s="43"/>
      <c r="M36" s="44"/>
      <c r="O36" s="43"/>
      <c r="P36" s="19" t="str">
        <f>'Maatwerk woningverbeteren'!C188</f>
        <v>Opbrengsten (totaal)</v>
      </c>
      <c r="Q36" s="24">
        <f>'Maatwerk woningverbeteren'!D188</f>
        <v>0</v>
      </c>
      <c r="T36" s="44"/>
      <c r="V36" s="43"/>
      <c r="W36" s="19" t="str">
        <f>'Maatwerk transformatie'!C88</f>
        <v>Opbrengsten (totaal)</v>
      </c>
      <c r="X36" s="24">
        <f>'Maatwerk transformatie'!D88</f>
        <v>0</v>
      </c>
      <c r="AA36" s="44"/>
      <c r="AC36" s="43"/>
      <c r="AD36" s="19" t="str">
        <f>Inponden!D5</f>
        <v>Opbrengsten totaal</v>
      </c>
      <c r="AE36" s="24">
        <f>Inponden!E5</f>
        <v>0</v>
      </c>
      <c r="AH36" s="44"/>
    </row>
    <row r="37" spans="2:34" ht="23.25">
      <c r="B37" s="43"/>
      <c r="F37" s="44"/>
      <c r="H37" s="43"/>
      <c r="I37" s="411" t="str">
        <f>Verduurzamingsplannen!C104</f>
        <v>Verduurzamingsacties PARTICULIERE KOOP</v>
      </c>
      <c r="J37" s="412"/>
      <c r="M37" s="44"/>
      <c r="O37" s="43"/>
      <c r="P37" s="19" t="str">
        <f>'Maatwerk woningverbeteren'!C189</f>
        <v>Financieel tekort</v>
      </c>
      <c r="Q37" s="244" t="str">
        <f>'Maatwerk woningverbeteren'!D189</f>
        <v>-</v>
      </c>
      <c r="T37" s="44"/>
      <c r="V37" s="43"/>
      <c r="W37" s="19" t="str">
        <f>'Maatwerk transformatie'!C89</f>
        <v>Financieel tekort</v>
      </c>
      <c r="X37" s="202">
        <f>'Maatwerk transformatie'!D89</f>
        <v>0</v>
      </c>
      <c r="AA37" s="44"/>
      <c r="AC37" s="43"/>
      <c r="AD37" s="19" t="str">
        <f>Inponden!D6</f>
        <v>Financieel tekort</v>
      </c>
      <c r="AE37" s="23">
        <f>Inponden!E6</f>
        <v>0</v>
      </c>
      <c r="AH37" s="44"/>
    </row>
    <row r="38" spans="2:34" ht="23.25">
      <c r="B38" s="43"/>
      <c r="C38" s="411" t="str">
        <f>'Sloop-nieuwbouw plannen'!C79</f>
        <v>Aantal woningen</v>
      </c>
      <c r="D38" s="412"/>
      <c r="F38" s="44"/>
      <c r="H38" s="43"/>
      <c r="I38" s="19" t="str">
        <f>Verduurzamingsplannen!C105</f>
        <v>Aantal woningen (totaal)</v>
      </c>
      <c r="J38" s="31">
        <f>Verduurzamingsplannen!D105</f>
        <v>0</v>
      </c>
      <c r="M38" s="44"/>
      <c r="O38" s="43"/>
      <c r="P38" s="19" t="str">
        <f>'Maatwerk woningverbeteren'!C190</f>
        <v>Bijdrage particuliere koop</v>
      </c>
      <c r="Q38" s="201">
        <f>'Maatwerk woningverbeteren'!D190</f>
        <v>0</v>
      </c>
      <c r="T38" s="44"/>
      <c r="V38" s="43"/>
      <c r="W38" s="19" t="str">
        <f>'Maatwerk transformatie'!C90</f>
        <v>Bijdrage particuliere koop</v>
      </c>
      <c r="X38" s="201">
        <f>'Maatwerk transformatie'!D90</f>
        <v>0</v>
      </c>
      <c r="AA38" s="44"/>
      <c r="AC38" s="43"/>
      <c r="AD38" s="19" t="str">
        <f>Inponden!D7</f>
        <v>Bijdrage Gemeente (€)</v>
      </c>
      <c r="AE38" s="201">
        <f>Inponden!E7</f>
        <v>0</v>
      </c>
      <c r="AH38" s="44"/>
    </row>
    <row r="39" spans="2:34" ht="23.25">
      <c r="B39" s="43"/>
      <c r="C39" s="19" t="str">
        <f>'Sloop-nieuwbouw plannen'!C80</f>
        <v>Sloop</v>
      </c>
      <c r="D39" s="245">
        <f>'Sloop-nieuwbouw plannen'!D80</f>
        <v>0</v>
      </c>
      <c r="F39" s="44"/>
      <c r="H39" s="43"/>
      <c r="I39" s="19" t="str">
        <f>Verduurzamingsplannen!C106</f>
        <v>Ingrepen (totaal)</v>
      </c>
      <c r="J39" s="20">
        <f>Verduurzamingsplannen!D106</f>
        <v>0</v>
      </c>
      <c r="M39" s="44"/>
      <c r="O39" s="43"/>
      <c r="P39" s="19" t="str">
        <f>'Maatwerk woningverbeteren'!C191</f>
        <v>Bijdrage particuliere verhuur</v>
      </c>
      <c r="Q39" s="201">
        <f>'Maatwerk woningverbeteren'!D191</f>
        <v>0</v>
      </c>
      <c r="T39" s="44"/>
      <c r="V39" s="43"/>
      <c r="W39" s="19" t="str">
        <f>'Maatwerk transformatie'!C91</f>
        <v>Bijdrage particuliere verhuur</v>
      </c>
      <c r="X39" s="201">
        <f>'Maatwerk transformatie'!D91</f>
        <v>0</v>
      </c>
      <c r="AA39" s="44"/>
      <c r="AC39" s="43"/>
      <c r="AD39" s="19" t="str">
        <f>Inponden!D8</f>
        <v>Bijdrage Woningcorporatie (€)</v>
      </c>
      <c r="AE39" s="201">
        <f>Inponden!E8</f>
        <v>0</v>
      </c>
      <c r="AH39" s="44"/>
    </row>
    <row r="40" spans="2:34" ht="23.25">
      <c r="B40" s="43"/>
      <c r="C40" s="19" t="str">
        <f>'Sloop-nieuwbouw plannen'!C81</f>
        <v>Nieuwbouw</v>
      </c>
      <c r="D40" s="245">
        <f>'Sloop-nieuwbouw plannen'!D81</f>
        <v>0</v>
      </c>
      <c r="F40" s="44"/>
      <c r="H40" s="43"/>
      <c r="I40" s="19" t="str">
        <f>Verduurzamingsplannen!C107</f>
        <v>Kosten</v>
      </c>
      <c r="J40" s="23">
        <f>Verduurzamingsplannen!D107</f>
        <v>0</v>
      </c>
      <c r="M40" s="44"/>
      <c r="O40" s="43"/>
      <c r="P40" s="19" t="str">
        <f>'Maatwerk woningverbeteren'!C192</f>
        <v>Financieel tekort VHF</v>
      </c>
      <c r="Q40" s="203" t="str">
        <f>'Maatwerk woningverbeteren'!D192</f>
        <v>geen financieel tekort</v>
      </c>
      <c r="T40" s="44"/>
      <c r="V40" s="43"/>
      <c r="W40" s="19" t="str">
        <f>'Maatwerk transformatie'!C92</f>
        <v>Financieel tekort VHF</v>
      </c>
      <c r="X40" s="203" t="str">
        <f>'Maatwerk transformatie'!D92</f>
        <v>geen financieel tekort</v>
      </c>
      <c r="AA40" s="44"/>
      <c r="AC40" s="43"/>
      <c r="AD40" s="19" t="str">
        <f>Inponden!D9</f>
        <v>Bijdrage Overige partijen (€)</v>
      </c>
      <c r="AE40" s="201">
        <f>Inponden!E9</f>
        <v>0</v>
      </c>
      <c r="AH40" s="44"/>
    </row>
    <row r="41" spans="2:34" ht="23.25">
      <c r="B41" s="43"/>
      <c r="F41" s="44"/>
      <c r="H41" s="43"/>
      <c r="I41" s="19" t="str">
        <f>Verduurzamingsplannen!C108</f>
        <v>Opbrengsten</v>
      </c>
      <c r="J41" s="24">
        <f>Verduurzamingsplannen!D108</f>
        <v>0</v>
      </c>
      <c r="M41" s="44"/>
      <c r="O41" s="43"/>
      <c r="T41" s="44"/>
      <c r="V41" s="45"/>
      <c r="W41" s="42"/>
      <c r="X41" s="42"/>
      <c r="Y41" s="42"/>
      <c r="Z41" s="42"/>
      <c r="AA41" s="46"/>
      <c r="AC41" s="43"/>
      <c r="AD41" s="19" t="str">
        <f>Inponden!D10</f>
        <v>Financieel tekort VHF</v>
      </c>
      <c r="AE41" s="203" t="str">
        <f>Inponden!E10</f>
        <v>geen financieel tekort</v>
      </c>
      <c r="AH41" s="44"/>
    </row>
    <row r="42" spans="2:34" ht="23.25">
      <c r="B42" s="43"/>
      <c r="C42" s="411" t="str">
        <f>'Sloop-nieuwbouw plannen'!C83</f>
        <v>Kosten</v>
      </c>
      <c r="D42" s="412"/>
      <c r="F42" s="44"/>
      <c r="H42" s="43"/>
      <c r="M42" s="44"/>
      <c r="O42" s="43"/>
      <c r="P42" s="411" t="str">
        <f>'Maatwerk woningverbeteren'!C195</f>
        <v>Bergingaanbouw</v>
      </c>
      <c r="Q42" s="412"/>
      <c r="T42" s="44"/>
      <c r="AC42" s="45"/>
      <c r="AD42" s="42"/>
      <c r="AE42" s="42"/>
      <c r="AF42" s="42"/>
      <c r="AG42" s="42"/>
      <c r="AH42" s="46"/>
    </row>
    <row r="43" spans="2:34" ht="23.25">
      <c r="B43" s="43"/>
      <c r="C43" s="19" t="str">
        <f>'Sloop-nieuwbouw plannen'!C84</f>
        <v>Sloop particuliere koop</v>
      </c>
      <c r="D43" s="23">
        <f>'Sloop-nieuwbouw plannen'!D84</f>
        <v>0</v>
      </c>
      <c r="F43" s="44"/>
      <c r="H43" s="43"/>
      <c r="I43" s="411" t="str">
        <f>Verduurzamingsplannen!C110</f>
        <v>Verduurzamingsacties PARTICULIERE VERHUUR</v>
      </c>
      <c r="J43" s="412"/>
      <c r="M43" s="44"/>
      <c r="O43" s="43"/>
      <c r="P43" s="19" t="str">
        <f>'Maatwerk woningverbeteren'!C196</f>
        <v>Kosten (totaal)</v>
      </c>
      <c r="Q43" s="23" t="e">
        <f>'Maatwerk woningverbeteren'!D196</f>
        <v>#VALUE!</v>
      </c>
      <c r="T43" s="44"/>
    </row>
    <row r="44" spans="2:34" ht="23.25">
      <c r="B44" s="43"/>
      <c r="C44" s="19" t="str">
        <f>'Sloop-nieuwbouw plannen'!C85</f>
        <v>Sloop particuliere verhuur</v>
      </c>
      <c r="D44" s="23">
        <f>'Sloop-nieuwbouw plannen'!D85</f>
        <v>0</v>
      </c>
      <c r="F44" s="44"/>
      <c r="H44" s="43"/>
      <c r="I44" s="19" t="str">
        <f>Verduurzamingsplannen!C111</f>
        <v>Aantal woningen (totaal)</v>
      </c>
      <c r="J44" s="31">
        <f>Verduurzamingsplannen!D111</f>
        <v>0</v>
      </c>
      <c r="M44" s="44"/>
      <c r="O44" s="43"/>
      <c r="P44" s="19" t="str">
        <f>'Maatwerk woningverbeteren'!C197</f>
        <v>Opbrengsten (totaal)</v>
      </c>
      <c r="Q44" s="24">
        <f>'Maatwerk woningverbeteren'!D197</f>
        <v>0</v>
      </c>
      <c r="T44" s="44"/>
    </row>
    <row r="45" spans="2:34" ht="23.25">
      <c r="B45" s="43"/>
      <c r="C45" s="19" t="str">
        <f>'Sloop-nieuwbouw plannen'!C86</f>
        <v>Nieuwbouw particuliere koop</v>
      </c>
      <c r="D45" s="23">
        <f>'Sloop-nieuwbouw plannen'!D86</f>
        <v>0</v>
      </c>
      <c r="F45" s="44"/>
      <c r="H45" s="43"/>
      <c r="I45" s="19" t="str">
        <f>Verduurzamingsplannen!C112</f>
        <v>Ingrepen (totaal)</v>
      </c>
      <c r="J45" s="20">
        <f>Verduurzamingsplannen!D112</f>
        <v>0</v>
      </c>
      <c r="M45" s="44"/>
      <c r="O45" s="43"/>
      <c r="P45" s="19" t="str">
        <f>'Maatwerk woningverbeteren'!C198</f>
        <v>Financieel tekort</v>
      </c>
      <c r="Q45" s="244" t="str">
        <f>'Maatwerk woningverbeteren'!D198</f>
        <v>-</v>
      </c>
      <c r="T45" s="44"/>
    </row>
    <row r="46" spans="2:34" ht="23.25">
      <c r="B46" s="43"/>
      <c r="C46" s="19" t="str">
        <f>'Sloop-nieuwbouw plannen'!C87</f>
        <v>Nieuwbouw particuliere verhuur</v>
      </c>
      <c r="D46" s="23">
        <f>'Sloop-nieuwbouw plannen'!D87</f>
        <v>0</v>
      </c>
      <c r="F46" s="44"/>
      <c r="H46" s="43"/>
      <c r="I46" s="19" t="str">
        <f>Verduurzamingsplannen!C113</f>
        <v>Kosten</v>
      </c>
      <c r="J46" s="23">
        <f>Verduurzamingsplannen!D113</f>
        <v>0</v>
      </c>
      <c r="M46" s="44"/>
      <c r="O46" s="43"/>
      <c r="P46" s="19" t="str">
        <f>'Maatwerk woningverbeteren'!C199</f>
        <v>Bijdrage particuliere koop</v>
      </c>
      <c r="Q46" s="201">
        <f>'Maatwerk woningverbeteren'!D199</f>
        <v>0</v>
      </c>
      <c r="T46" s="44"/>
    </row>
    <row r="47" spans="2:34" ht="23.25">
      <c r="B47" s="43"/>
      <c r="F47" s="44"/>
      <c r="H47" s="43"/>
      <c r="I47" s="19" t="str">
        <f>Verduurzamingsplannen!C114</f>
        <v>Opbrengsten</v>
      </c>
      <c r="J47" s="24">
        <f>Verduurzamingsplannen!D114</f>
        <v>0</v>
      </c>
      <c r="M47" s="44"/>
      <c r="O47" s="43"/>
      <c r="P47" s="19" t="str">
        <f>'Maatwerk woningverbeteren'!C200</f>
        <v>Bijdrage particuliere verhuur</v>
      </c>
      <c r="Q47" s="201">
        <f>'Maatwerk woningverbeteren'!D200</f>
        <v>0</v>
      </c>
      <c r="T47" s="44"/>
    </row>
    <row r="48" spans="2:34" ht="23.25">
      <c r="B48" s="43"/>
      <c r="C48" s="411" t="str">
        <f>'Sloop-nieuwbouw plannen'!C89</f>
        <v>Opbrengsten</v>
      </c>
      <c r="D48" s="412"/>
      <c r="F48" s="44"/>
      <c r="H48" s="43"/>
      <c r="M48" s="44"/>
      <c r="O48" s="43"/>
      <c r="P48" s="19" t="str">
        <f>'Maatwerk woningverbeteren'!C201</f>
        <v>Financieel tekort VHF</v>
      </c>
      <c r="Q48" s="203" t="str">
        <f>'Maatwerk woningverbeteren'!D201</f>
        <v>geen financieel tekort</v>
      </c>
      <c r="T48" s="44"/>
    </row>
    <row r="49" spans="2:20" ht="23.25">
      <c r="B49" s="43"/>
      <c r="C49" s="47" t="str">
        <f>'Sloop-nieuwbouw plannen'!C90</f>
        <v>Particuliere koopwoning</v>
      </c>
      <c r="D49" s="24">
        <f>'Sloop-nieuwbouw plannen'!D90</f>
        <v>0</v>
      </c>
      <c r="F49" s="44"/>
      <c r="H49" s="43"/>
      <c r="I49" s="411" t="str">
        <f>Verduurzamingsplannen!C116</f>
        <v>Financieel tekort PARTICULIERE KOOP</v>
      </c>
      <c r="J49" s="412"/>
      <c r="M49" s="44"/>
      <c r="O49" s="43"/>
      <c r="T49" s="44"/>
    </row>
    <row r="50" spans="2:20" ht="23.25">
      <c r="B50" s="43"/>
      <c r="C50" s="47" t="str">
        <f>'Sloop-nieuwbouw plannen'!C91</f>
        <v>Particuliere verhuur (50 jaar exploiteren)</v>
      </c>
      <c r="D50" s="24">
        <f>'Sloop-nieuwbouw plannen'!D91</f>
        <v>0</v>
      </c>
      <c r="F50" s="44"/>
      <c r="H50" s="43"/>
      <c r="I50" s="19" t="str">
        <f>Verduurzamingsplannen!C117</f>
        <v>Kosten (totaal)</v>
      </c>
      <c r="J50" s="201">
        <f>Verduurzamingsplannen!D117</f>
        <v>0</v>
      </c>
      <c r="M50" s="44"/>
      <c r="O50" s="43"/>
      <c r="P50" s="411" t="str">
        <f>'Maatwerk woningverbeteren'!C204</f>
        <v>Dakkapel uitgetimmerd</v>
      </c>
      <c r="Q50" s="412"/>
      <c r="T50" s="44"/>
    </row>
    <row r="51" spans="2:20" ht="23.25">
      <c r="B51" s="43"/>
      <c r="F51" s="44"/>
      <c r="H51" s="43"/>
      <c r="I51" s="19" t="str">
        <f>Verduurzamingsplannen!C118</f>
        <v>Opbrengsten (totaal)</v>
      </c>
      <c r="J51" s="201">
        <f>Verduurzamingsplannen!D118</f>
        <v>0</v>
      </c>
      <c r="M51" s="44"/>
      <c r="O51" s="43"/>
      <c r="P51" s="19" t="str">
        <f>'Maatwerk woningverbeteren'!C205</f>
        <v>Kosten (totaal)</v>
      </c>
      <c r="Q51" s="23" t="e">
        <f>'Maatwerk woningverbeteren'!D205</f>
        <v>#VALUE!</v>
      </c>
      <c r="T51" s="44"/>
    </row>
    <row r="52" spans="2:20" ht="23.25">
      <c r="B52" s="43"/>
      <c r="C52" s="411" t="str">
        <f>'Sloop-nieuwbouw plannen'!C93</f>
        <v>Financieel tekort PARTICULIERE KOOP</v>
      </c>
      <c r="D52" s="412"/>
      <c r="F52" s="44"/>
      <c r="H52" s="43"/>
      <c r="I52" s="19" t="str">
        <f>Verduurzamingsplannen!C119</f>
        <v>Financieel tekort</v>
      </c>
      <c r="J52" s="202">
        <f>Verduurzamingsplannen!D119</f>
        <v>0</v>
      </c>
      <c r="M52" s="44"/>
      <c r="O52" s="43"/>
      <c r="P52" s="19" t="str">
        <f>'Maatwerk woningverbeteren'!C206</f>
        <v>Opbrengsten (totaal)</v>
      </c>
      <c r="Q52" s="24">
        <f>'Maatwerk woningverbeteren'!D206</f>
        <v>0</v>
      </c>
      <c r="T52" s="44"/>
    </row>
    <row r="53" spans="2:20" ht="23.25">
      <c r="B53" s="43"/>
      <c r="C53" s="19" t="str">
        <f>'Sloop-nieuwbouw plannen'!C94</f>
        <v>Aantal woningen particuliere koop sloop</v>
      </c>
      <c r="D53" s="48">
        <f>'Sloop-nieuwbouw plannen'!D94</f>
        <v>0</v>
      </c>
      <c r="F53" s="44"/>
      <c r="H53" s="43"/>
      <c r="I53" s="19" t="str">
        <f>Verduurzamingsplannen!C120</f>
        <v>Bijdrage particuliere koop</v>
      </c>
      <c r="J53" s="201" t="str">
        <f>Verduurzamingsplannen!D120</f>
        <v>geen financieel tekort</v>
      </c>
      <c r="M53" s="44"/>
      <c r="O53" s="43"/>
      <c r="P53" s="19" t="str">
        <f>'Maatwerk woningverbeteren'!C207</f>
        <v>Financieel tekort</v>
      </c>
      <c r="Q53" s="244" t="str">
        <f>'Maatwerk woningverbeteren'!D207</f>
        <v>-</v>
      </c>
      <c r="T53" s="44"/>
    </row>
    <row r="54" spans="2:20" ht="23.25">
      <c r="B54" s="43"/>
      <c r="C54" s="19" t="str">
        <f>'Sloop-nieuwbouw plannen'!C95</f>
        <v>Kosten sloop</v>
      </c>
      <c r="D54" s="33">
        <f>'Sloop-nieuwbouw plannen'!D95</f>
        <v>0</v>
      </c>
      <c r="F54" s="44"/>
      <c r="H54" s="43"/>
      <c r="I54" s="19" t="str">
        <f>Verduurzamingsplannen!C121</f>
        <v>Financieel tekort VHF</v>
      </c>
      <c r="J54" s="203" t="str">
        <f>Verduurzamingsplannen!D121</f>
        <v>geen financieel tekort</v>
      </c>
      <c r="M54" s="44"/>
      <c r="O54" s="43"/>
      <c r="P54" s="19" t="str">
        <f>'Maatwerk woningverbeteren'!C208</f>
        <v>Bijdrage particuliere koop</v>
      </c>
      <c r="Q54" s="201">
        <f>'Maatwerk woningverbeteren'!D208</f>
        <v>0</v>
      </c>
      <c r="T54" s="44"/>
    </row>
    <row r="55" spans="2:20" ht="23.25">
      <c r="B55" s="43"/>
      <c r="C55" s="19" t="str">
        <f>'Sloop-nieuwbouw plannen'!C96</f>
        <v>Aantal woningen particuliere koop nieuwbouw</v>
      </c>
      <c r="D55" s="48">
        <f>'Sloop-nieuwbouw plannen'!D96</f>
        <v>0</v>
      </c>
      <c r="F55" s="44"/>
      <c r="H55" s="43"/>
      <c r="M55" s="44"/>
      <c r="O55" s="43"/>
      <c r="P55" s="19" t="str">
        <f>'Maatwerk woningverbeteren'!C209</f>
        <v>Bijdrage particuliere verhuur</v>
      </c>
      <c r="Q55" s="201">
        <f>'Maatwerk woningverbeteren'!D209</f>
        <v>0</v>
      </c>
      <c r="T55" s="44"/>
    </row>
    <row r="56" spans="2:20" ht="23.25">
      <c r="B56" s="43"/>
      <c r="C56" s="19" t="str">
        <f>'Sloop-nieuwbouw plannen'!C97</f>
        <v>Kosten nieuwbouw particuliere koop</v>
      </c>
      <c r="D56" s="33">
        <f>'Sloop-nieuwbouw plannen'!D97</f>
        <v>0</v>
      </c>
      <c r="F56" s="44"/>
      <c r="H56" s="43"/>
      <c r="I56" s="411" t="str">
        <f>Verduurzamingsplannen!C123</f>
        <v>Financieel tekort PARTICULIERE VERHUUR</v>
      </c>
      <c r="J56" s="412"/>
      <c r="M56" s="44"/>
      <c r="O56" s="43"/>
      <c r="P56" s="19" t="str">
        <f>'Maatwerk woningverbeteren'!C210</f>
        <v>Financieel tekort VHF</v>
      </c>
      <c r="Q56" s="203" t="str">
        <f>'Maatwerk woningverbeteren'!D210</f>
        <v>geen financieel tekort</v>
      </c>
      <c r="T56" s="44"/>
    </row>
    <row r="57" spans="2:20" ht="23.25">
      <c r="B57" s="43"/>
      <c r="C57" s="19" t="str">
        <f>'Sloop-nieuwbouw plannen'!C98</f>
        <v>Opbrengsten particuliere koop</v>
      </c>
      <c r="D57" s="33">
        <f>'Sloop-nieuwbouw plannen'!D98</f>
        <v>0</v>
      </c>
      <c r="F57" s="44"/>
      <c r="H57" s="43"/>
      <c r="I57" s="19" t="str">
        <f>Verduurzamingsplannen!C124</f>
        <v>Kosten (totaal)</v>
      </c>
      <c r="J57" s="201">
        <f>Verduurzamingsplannen!D124</f>
        <v>0</v>
      </c>
      <c r="M57" s="44"/>
      <c r="O57" s="43"/>
      <c r="T57" s="44"/>
    </row>
    <row r="58" spans="2:20" ht="23.25">
      <c r="B58" s="43"/>
      <c r="C58" s="19" t="str">
        <f>'Sloop-nieuwbouw plannen'!C99</f>
        <v>Financieel tekort particuliere koop</v>
      </c>
      <c r="D58" s="32">
        <f>'Sloop-nieuwbouw plannen'!D99</f>
        <v>0</v>
      </c>
      <c r="F58" s="44"/>
      <c r="H58" s="43"/>
      <c r="I58" s="19" t="str">
        <f>Verduurzamingsplannen!C125</f>
        <v>Opbrengsten (totaal)</v>
      </c>
      <c r="J58" s="201">
        <f>Verduurzamingsplannen!D125</f>
        <v>0</v>
      </c>
      <c r="M58" s="44"/>
      <c r="O58" s="43"/>
      <c r="P58" s="411" t="str">
        <f>'Maatwerk woningverbeteren'!C213</f>
        <v>Dakkapel prefab</v>
      </c>
      <c r="Q58" s="412"/>
      <c r="T58" s="44"/>
    </row>
    <row r="59" spans="2:20" ht="27" customHeight="1">
      <c r="B59" s="43"/>
      <c r="C59" s="19" t="str">
        <f>'Sloop-nieuwbouw plannen'!C100</f>
        <v>Bijdrage particuliere koop</v>
      </c>
      <c r="D59" s="201" t="str">
        <f>'Sloop-nieuwbouw plannen'!D100</f>
        <v>geen financieel tekort</v>
      </c>
      <c r="F59" s="44"/>
      <c r="H59" s="43"/>
      <c r="I59" s="19" t="str">
        <f>Verduurzamingsplannen!C126</f>
        <v>Financieel tekort</v>
      </c>
      <c r="J59" s="202">
        <f>Verduurzamingsplannen!D126</f>
        <v>0</v>
      </c>
      <c r="M59" s="44"/>
      <c r="O59" s="43"/>
      <c r="P59" s="19" t="str">
        <f>'Maatwerk woningverbeteren'!C214</f>
        <v>Kosten (totaal)</v>
      </c>
      <c r="Q59" s="23" t="e">
        <f>'Maatwerk woningverbeteren'!D214</f>
        <v>#VALUE!</v>
      </c>
      <c r="T59" s="44"/>
    </row>
    <row r="60" spans="2:20" ht="23.25">
      <c r="B60" s="43"/>
      <c r="C60" s="19" t="str">
        <f>'Sloop-nieuwbouw plannen'!C101</f>
        <v>Financieel tekort VHF</v>
      </c>
      <c r="D60" s="203" t="str">
        <f>'Sloop-nieuwbouw plannen'!D101</f>
        <v>geen financieel tekort</v>
      </c>
      <c r="F60" s="44"/>
      <c r="H60" s="43"/>
      <c r="I60" s="19" t="str">
        <f>Verduurzamingsplannen!C127</f>
        <v>Bijdrage particuliere verhuur</v>
      </c>
      <c r="J60" s="201" t="str">
        <f>Verduurzamingsplannen!D127</f>
        <v>geen financieel tekort</v>
      </c>
      <c r="M60" s="44"/>
      <c r="O60" s="43"/>
      <c r="P60" s="19" t="str">
        <f>'Maatwerk woningverbeteren'!C215</f>
        <v>Opbrengsten (totaal)</v>
      </c>
      <c r="Q60" s="24">
        <f>'Maatwerk woningverbeteren'!D215</f>
        <v>0</v>
      </c>
      <c r="T60" s="44"/>
    </row>
    <row r="61" spans="2:20" ht="23.25">
      <c r="B61" s="43"/>
      <c r="F61" s="44"/>
      <c r="H61" s="43"/>
      <c r="I61" s="19" t="str">
        <f>Verduurzamingsplannen!C128</f>
        <v>Financieel tekort VHF</v>
      </c>
      <c r="J61" s="203" t="str">
        <f>Verduurzamingsplannen!D128</f>
        <v>geen financieel tekort</v>
      </c>
      <c r="M61" s="44"/>
      <c r="O61" s="43"/>
      <c r="P61" s="19" t="str">
        <f>'Maatwerk woningverbeteren'!C216</f>
        <v>Financieel tekort</v>
      </c>
      <c r="Q61" s="244" t="str">
        <f>'Maatwerk woningverbeteren'!D216</f>
        <v>-</v>
      </c>
      <c r="T61" s="44"/>
    </row>
    <row r="62" spans="2:20" ht="23.25">
      <c r="B62" s="43"/>
      <c r="C62" s="411" t="str">
        <f>'Sloop-nieuwbouw plannen'!C103</f>
        <v>Financieel tekort PARTICULIERE VERHUUR</v>
      </c>
      <c r="D62" s="412"/>
      <c r="F62" s="44"/>
      <c r="H62" s="45"/>
      <c r="I62" s="42"/>
      <c r="J62" s="42"/>
      <c r="K62" s="42"/>
      <c r="L62" s="42"/>
      <c r="M62" s="46"/>
      <c r="O62" s="43"/>
      <c r="P62" s="19" t="str">
        <f>'Maatwerk woningverbeteren'!C217</f>
        <v>Bijdrage particuliere koop</v>
      </c>
      <c r="Q62" s="201">
        <f>'Maatwerk woningverbeteren'!D217</f>
        <v>0</v>
      </c>
      <c r="T62" s="44"/>
    </row>
    <row r="63" spans="2:20" ht="23.25">
      <c r="B63" s="43"/>
      <c r="C63" s="19" t="str">
        <f>'Sloop-nieuwbouw plannen'!C104</f>
        <v>Aantal woningen particuliere verhuur sloop</v>
      </c>
      <c r="D63" s="123">
        <f>'Sloop-nieuwbouw plannen'!D104</f>
        <v>0</v>
      </c>
      <c r="F63" s="44"/>
      <c r="O63" s="43"/>
      <c r="P63" s="19" t="str">
        <f>'Maatwerk woningverbeteren'!C218</f>
        <v>Bijdrage particuliere verhuur</v>
      </c>
      <c r="Q63" s="201">
        <f>'Maatwerk woningverbeteren'!D218</f>
        <v>0</v>
      </c>
      <c r="T63" s="44"/>
    </row>
    <row r="64" spans="2:20" ht="23.25">
      <c r="B64" s="43"/>
      <c r="C64" s="19" t="str">
        <f>'Sloop-nieuwbouw plannen'!C105</f>
        <v>Kosten sloop</v>
      </c>
      <c r="D64" s="33">
        <f>'Sloop-nieuwbouw plannen'!D105</f>
        <v>0</v>
      </c>
      <c r="F64" s="44"/>
      <c r="O64" s="43"/>
      <c r="P64" s="19" t="str">
        <f>'Maatwerk woningverbeteren'!C219</f>
        <v>Financieel tekort VHF</v>
      </c>
      <c r="Q64" s="203" t="str">
        <f>'Maatwerk woningverbeteren'!D219</f>
        <v>geen financieel tekort</v>
      </c>
      <c r="T64" s="44"/>
    </row>
    <row r="65" spans="2:20" ht="23.25">
      <c r="B65" s="43"/>
      <c r="C65" s="19" t="str">
        <f>'Sloop-nieuwbouw plannen'!C106</f>
        <v xml:space="preserve">Aantal woningen particuliere verhuur nieuwbouw </v>
      </c>
      <c r="D65" s="123">
        <f>'Sloop-nieuwbouw plannen'!D106</f>
        <v>0</v>
      </c>
      <c r="F65" s="44"/>
      <c r="O65" s="43"/>
      <c r="T65" s="44"/>
    </row>
    <row r="66" spans="2:20" ht="23.25">
      <c r="B66" s="43"/>
      <c r="C66" s="19" t="str">
        <f>'Sloop-nieuwbouw plannen'!C107</f>
        <v>Kosten nieuwbouw particuliere verhuur</v>
      </c>
      <c r="D66" s="33">
        <f>'Sloop-nieuwbouw plannen'!D107</f>
        <v>0</v>
      </c>
      <c r="F66" s="44"/>
      <c r="O66" s="43"/>
      <c r="P66" s="411" t="str">
        <f>'Maatwerk woningverbeteren'!C222</f>
        <v>Optoppen</v>
      </c>
      <c r="Q66" s="412"/>
      <c r="T66" s="44"/>
    </row>
    <row r="67" spans="2:20" ht="23.25">
      <c r="B67" s="43"/>
      <c r="C67" s="19" t="str">
        <f>'Sloop-nieuwbouw plannen'!C108</f>
        <v>Opbrengsten particuliere verhuur (50 jaar exploiteren)</v>
      </c>
      <c r="D67" s="33">
        <f>'Sloop-nieuwbouw plannen'!D108</f>
        <v>0</v>
      </c>
      <c r="F67" s="44"/>
      <c r="O67" s="43"/>
      <c r="P67" s="19" t="str">
        <f>'Maatwerk woningverbeteren'!C223</f>
        <v>Kosten (totaal)</v>
      </c>
      <c r="Q67" s="23" t="e">
        <f>'Maatwerk woningverbeteren'!D223</f>
        <v>#VALUE!</v>
      </c>
      <c r="T67" s="44"/>
    </row>
    <row r="68" spans="2:20" ht="23.25">
      <c r="B68" s="43"/>
      <c r="C68" s="19" t="str">
        <f>'Sloop-nieuwbouw plannen'!C109</f>
        <v>Financieel tekort particuliere verhuur</v>
      </c>
      <c r="D68" s="32">
        <f>'Sloop-nieuwbouw plannen'!D109</f>
        <v>0</v>
      </c>
      <c r="F68" s="44"/>
      <c r="O68" s="43"/>
      <c r="P68" s="19" t="str">
        <f>'Maatwerk woningverbeteren'!C224</f>
        <v>Opbrengsten (totaal)</v>
      </c>
      <c r="Q68" s="24">
        <f>'Maatwerk woningverbeteren'!D224</f>
        <v>0</v>
      </c>
      <c r="T68" s="44"/>
    </row>
    <row r="69" spans="2:20" ht="23.25">
      <c r="B69" s="43"/>
      <c r="C69" s="19" t="str">
        <f>'Sloop-nieuwbouw plannen'!C110</f>
        <v>Bijdrage particuliere verhuur</v>
      </c>
      <c r="D69" s="201" t="str">
        <f>'Sloop-nieuwbouw plannen'!D110</f>
        <v>geen financieel tekort</v>
      </c>
      <c r="F69" s="44"/>
      <c r="O69" s="43"/>
      <c r="P69" s="19" t="str">
        <f>'Maatwerk woningverbeteren'!C225</f>
        <v>Financieel tekort</v>
      </c>
      <c r="Q69" s="244" t="str">
        <f>'Maatwerk woningverbeteren'!D225</f>
        <v>-</v>
      </c>
      <c r="T69" s="44"/>
    </row>
    <row r="70" spans="2:20" ht="23.25">
      <c r="B70" s="43"/>
      <c r="C70" s="19" t="str">
        <f>'Sloop-nieuwbouw plannen'!C111</f>
        <v>Financieel tekort VHF</v>
      </c>
      <c r="D70" s="203" t="str">
        <f>'Sloop-nieuwbouw plannen'!D111</f>
        <v>geen financieel tekort</v>
      </c>
      <c r="F70" s="44"/>
      <c r="O70" s="43"/>
      <c r="P70" s="19" t="str">
        <f>'Maatwerk woningverbeteren'!C226</f>
        <v>Bijdrage particuliere koop</v>
      </c>
      <c r="Q70" s="201">
        <f>'Maatwerk woningverbeteren'!D226</f>
        <v>0</v>
      </c>
      <c r="T70" s="44"/>
    </row>
    <row r="71" spans="2:20" ht="23.25">
      <c r="B71" s="45"/>
      <c r="C71" s="42"/>
      <c r="D71" s="42"/>
      <c r="E71" s="42"/>
      <c r="F71" s="46"/>
      <c r="O71" s="43"/>
      <c r="P71" s="19" t="str">
        <f>'Maatwerk woningverbeteren'!C227</f>
        <v>Bijdrage particuliere verhuur</v>
      </c>
      <c r="Q71" s="201">
        <f>'Maatwerk woningverbeteren'!D227</f>
        <v>0</v>
      </c>
      <c r="T71" s="44"/>
    </row>
    <row r="72" spans="2:20" ht="23.25">
      <c r="O72" s="43"/>
      <c r="P72" s="19" t="str">
        <f>'Maatwerk woningverbeteren'!C228</f>
        <v>Financieel tekort VHF</v>
      </c>
      <c r="Q72" s="203" t="str">
        <f>'Maatwerk woningverbeteren'!D228</f>
        <v>geen financieel tekort</v>
      </c>
      <c r="T72" s="44"/>
    </row>
    <row r="73" spans="2:20">
      <c r="O73" s="43"/>
      <c r="T73" s="44"/>
    </row>
    <row r="74" spans="2:20">
      <c r="O74" s="43"/>
      <c r="T74" s="44"/>
    </row>
    <row r="75" spans="2:20" ht="23.25">
      <c r="O75" s="43"/>
      <c r="P75" s="411" t="str">
        <f>'Maatwerk woningverbeteren'!C231</f>
        <v>Splitsen</v>
      </c>
      <c r="Q75" s="412"/>
      <c r="T75" s="44"/>
    </row>
    <row r="76" spans="2:20" ht="23.25">
      <c r="O76" s="43"/>
      <c r="P76" s="19" t="str">
        <f>'Maatwerk woningverbeteren'!C232</f>
        <v>Kosten (totaal)</v>
      </c>
      <c r="Q76" s="23">
        <f>'Maatwerk woningverbeteren'!D232</f>
        <v>0</v>
      </c>
      <c r="T76" s="44"/>
    </row>
    <row r="77" spans="2:20" ht="23.25">
      <c r="O77" s="43"/>
      <c r="P77" s="19" t="str">
        <f>'Maatwerk woningverbeteren'!C233</f>
        <v>Opbrengsten (totaal)</v>
      </c>
      <c r="Q77" s="24">
        <f>'Maatwerk woningverbeteren'!D233</f>
        <v>0</v>
      </c>
      <c r="T77" s="44"/>
    </row>
    <row r="78" spans="2:20" ht="23.25">
      <c r="O78" s="43"/>
      <c r="P78" s="19" t="str">
        <f>'Maatwerk woningverbeteren'!C234</f>
        <v>Financieel tekort</v>
      </c>
      <c r="Q78" s="202">
        <f>'Maatwerk woningverbeteren'!D234</f>
        <v>0</v>
      </c>
      <c r="T78" s="44"/>
    </row>
    <row r="79" spans="2:20" ht="23.25">
      <c r="O79" s="43"/>
      <c r="P79" s="19" t="str">
        <f>'Maatwerk woningverbeteren'!C235</f>
        <v>Bijdrage particuliere koop</v>
      </c>
      <c r="Q79" s="201">
        <f>'Maatwerk woningverbeteren'!D235</f>
        <v>0</v>
      </c>
      <c r="T79" s="44"/>
    </row>
    <row r="80" spans="2:20" ht="23.25">
      <c r="O80" s="43"/>
      <c r="P80" s="19" t="str">
        <f>'Maatwerk woningverbeteren'!C236</f>
        <v>Bijdrage particuliere verhuur</v>
      </c>
      <c r="Q80" s="201">
        <f>'Maatwerk woningverbeteren'!D236</f>
        <v>0</v>
      </c>
      <c r="T80" s="44"/>
    </row>
    <row r="81" spans="15:20" ht="23.25">
      <c r="O81" s="43"/>
      <c r="P81" s="19" t="str">
        <f>'Maatwerk woningverbeteren'!C237</f>
        <v>Financieel tekort VHF</v>
      </c>
      <c r="Q81" s="203" t="str">
        <f>'Maatwerk woningverbeteren'!D237</f>
        <v>geen financieel tekort</v>
      </c>
      <c r="T81" s="44"/>
    </row>
    <row r="82" spans="15:20">
      <c r="O82" s="43"/>
      <c r="T82" s="44"/>
    </row>
    <row r="83" spans="15:20">
      <c r="O83" s="43"/>
      <c r="T83" s="44"/>
    </row>
    <row r="84" spans="15:20" ht="23.25">
      <c r="O84" s="43"/>
      <c r="P84" s="411" t="str">
        <f>'Maatwerk woningverbeteren'!C240</f>
        <v>Samenvoegen</v>
      </c>
      <c r="Q84" s="412"/>
      <c r="T84" s="44"/>
    </row>
    <row r="85" spans="15:20" ht="23.25">
      <c r="O85" s="43"/>
      <c r="P85" s="19" t="str">
        <f>'Maatwerk woningverbeteren'!C241</f>
        <v>Kosten (totaal)</v>
      </c>
      <c r="Q85" s="23">
        <f>'Maatwerk woningverbeteren'!D241</f>
        <v>0</v>
      </c>
      <c r="T85" s="44"/>
    </row>
    <row r="86" spans="15:20" ht="23.25">
      <c r="O86" s="43"/>
      <c r="P86" s="19" t="str">
        <f>'Maatwerk woningverbeteren'!C242</f>
        <v>Opbrengsten (totaal)</v>
      </c>
      <c r="Q86" s="24">
        <f>'Maatwerk woningverbeteren'!D242</f>
        <v>0</v>
      </c>
      <c r="T86" s="44"/>
    </row>
    <row r="87" spans="15:20" ht="23.25">
      <c r="O87" s="43"/>
      <c r="P87" s="19" t="str">
        <f>'Maatwerk woningverbeteren'!C243</f>
        <v>Financieel tekort</v>
      </c>
      <c r="Q87" s="202">
        <f>'Maatwerk woningverbeteren'!D243</f>
        <v>0</v>
      </c>
      <c r="T87" s="44"/>
    </row>
    <row r="88" spans="15:20" ht="23.25">
      <c r="O88" s="43"/>
      <c r="P88" s="19" t="str">
        <f>'Maatwerk woningverbeteren'!C244</f>
        <v>Bijdrage particuliere koop</v>
      </c>
      <c r="Q88" s="201">
        <f>'Maatwerk woningverbeteren'!D244</f>
        <v>0</v>
      </c>
      <c r="T88" s="44"/>
    </row>
    <row r="89" spans="15:20" ht="23.25">
      <c r="O89" s="43"/>
      <c r="P89" s="19" t="str">
        <f>'Maatwerk woningverbeteren'!C245</f>
        <v>Bijdrage particuliere verhuur</v>
      </c>
      <c r="Q89" s="201">
        <f>'Maatwerk woningverbeteren'!D245</f>
        <v>0</v>
      </c>
      <c r="T89" s="44"/>
    </row>
    <row r="90" spans="15:20" ht="23.25">
      <c r="O90" s="43"/>
      <c r="P90" s="19" t="str">
        <f>'Maatwerk woningverbeteren'!C246</f>
        <v>Financieel tekort VHF</v>
      </c>
      <c r="Q90" s="203" t="str">
        <f>'Maatwerk woningverbeteren'!D246</f>
        <v>geen financieel tekort</v>
      </c>
      <c r="T90" s="44"/>
    </row>
    <row r="91" spans="15:20">
      <c r="O91" s="43"/>
      <c r="T91" s="44"/>
    </row>
    <row r="92" spans="15:20">
      <c r="O92" s="43"/>
      <c r="T92" s="44"/>
    </row>
    <row r="93" spans="15:20" ht="23.25">
      <c r="O93" s="43"/>
      <c r="P93" s="411" t="str">
        <f>'Maatwerk woningverbeteren'!C249</f>
        <v>Achterstallig onderhoud</v>
      </c>
      <c r="Q93" s="412"/>
      <c r="T93" s="44"/>
    </row>
    <row r="94" spans="15:20" ht="23.25">
      <c r="O94" s="43"/>
      <c r="P94" s="19" t="str">
        <f>'Maatwerk woningverbeteren'!C250</f>
        <v>Kosten (totaal)</v>
      </c>
      <c r="Q94" s="23">
        <f>'Maatwerk woningverbeteren'!D250</f>
        <v>0</v>
      </c>
      <c r="T94" s="44"/>
    </row>
    <row r="95" spans="15:20" ht="23.25">
      <c r="O95" s="43"/>
      <c r="P95" s="19" t="str">
        <f>'Maatwerk woningverbeteren'!C251</f>
        <v>Opbrengsten (totaal)</v>
      </c>
      <c r="Q95" s="24">
        <f>'Maatwerk woningverbeteren'!D251</f>
        <v>0</v>
      </c>
      <c r="T95" s="44"/>
    </row>
    <row r="96" spans="15:20" ht="23.25">
      <c r="O96" s="43"/>
      <c r="P96" s="19" t="str">
        <f>'Maatwerk woningverbeteren'!C252</f>
        <v>Financieel tekort</v>
      </c>
      <c r="Q96" s="202">
        <f>'Maatwerk woningverbeteren'!D252</f>
        <v>0</v>
      </c>
      <c r="T96" s="44"/>
    </row>
    <row r="97" spans="15:20" ht="23.25">
      <c r="O97" s="43"/>
      <c r="P97" s="19" t="str">
        <f>'Maatwerk woningverbeteren'!C253</f>
        <v>Bijdrage particuliere koop</v>
      </c>
      <c r="Q97" s="201">
        <f>'Maatwerk woningverbeteren'!D253</f>
        <v>0</v>
      </c>
      <c r="T97" s="44"/>
    </row>
    <row r="98" spans="15:20" ht="23.25">
      <c r="O98" s="43"/>
      <c r="P98" s="19" t="str">
        <f>'Maatwerk woningverbeteren'!C254</f>
        <v>Bijdrage particuliere verhuur</v>
      </c>
      <c r="Q98" s="201">
        <f>'Maatwerk woningverbeteren'!D254</f>
        <v>0</v>
      </c>
      <c r="T98" s="44"/>
    </row>
    <row r="99" spans="15:20" ht="23.25">
      <c r="O99" s="43"/>
      <c r="P99" s="19" t="str">
        <f>'Maatwerk woningverbeteren'!C255</f>
        <v>Financieel tekort VHF</v>
      </c>
      <c r="Q99" s="203" t="str">
        <f>'Maatwerk woningverbeteren'!D255</f>
        <v>geen financieel tekort</v>
      </c>
      <c r="T99" s="44"/>
    </row>
    <row r="100" spans="15:20">
      <c r="O100" s="45"/>
      <c r="P100" s="42"/>
      <c r="Q100" s="42"/>
      <c r="R100" s="42"/>
      <c r="S100" s="42"/>
      <c r="T100" s="46"/>
    </row>
  </sheetData>
  <sheetProtection algorithmName="SHA-512" hashValue="UybXArDMZ3q2ob21TSp7Af/Rke5wE6RdaCTZ0VxKqPGXiLjy7sckrob9f/56DqSLvqs3fv8L0s1BI8Yt0mgMIw==" saltValue="dpJmr/R3NMIvZp22pYWncw==" spinCount="100000" sheet="1" objects="1" scenarios="1"/>
  <mergeCells count="31">
    <mergeCell ref="C38:D38"/>
    <mergeCell ref="C42:D42"/>
    <mergeCell ref="C48:D48"/>
    <mergeCell ref="C52:D52"/>
    <mergeCell ref="C62:D62"/>
    <mergeCell ref="B3:F3"/>
    <mergeCell ref="C16:D16"/>
    <mergeCell ref="C6:D6"/>
    <mergeCell ref="V32:AA32"/>
    <mergeCell ref="H32:M32"/>
    <mergeCell ref="O32:T32"/>
    <mergeCell ref="I7:K13"/>
    <mergeCell ref="H16:K16"/>
    <mergeCell ref="H17:J18"/>
    <mergeCell ref="K17:K18"/>
    <mergeCell ref="B32:F32"/>
    <mergeCell ref="P58:Q58"/>
    <mergeCell ref="P66:Q66"/>
    <mergeCell ref="P75:Q75"/>
    <mergeCell ref="P84:Q84"/>
    <mergeCell ref="P93:Q93"/>
    <mergeCell ref="AC32:AH32"/>
    <mergeCell ref="AD34:AE34"/>
    <mergeCell ref="P42:Q42"/>
    <mergeCell ref="P50:Q50"/>
    <mergeCell ref="P34:Q34"/>
    <mergeCell ref="I37:J37"/>
    <mergeCell ref="I43:J43"/>
    <mergeCell ref="I49:J49"/>
    <mergeCell ref="I56:J56"/>
    <mergeCell ref="W34:X34"/>
  </mergeCells>
  <conditionalFormatting sqref="D8:D9">
    <cfRule type="containsText" dxfId="46" priority="106" operator="containsText" text="!!!">
      <formula>NOT(ISERROR(SEARCH("!!!",D8)))</formula>
    </cfRule>
  </conditionalFormatting>
  <conditionalFormatting sqref="D13:D14">
    <cfRule type="containsText" dxfId="45" priority="111" operator="containsText" text="!!!">
      <formula>NOT(ISERROR(SEARCH("!!!",D13)))</formula>
    </cfRule>
  </conditionalFormatting>
  <conditionalFormatting sqref="D23:D25">
    <cfRule type="notContainsBlanks" dxfId="44" priority="79">
      <formula>LEN(TRIM(D23))&gt;0</formula>
    </cfRule>
  </conditionalFormatting>
  <conditionalFormatting sqref="D26">
    <cfRule type="cellIs" dxfId="43" priority="80" operator="greaterThan">
      <formula>0</formula>
    </cfRule>
  </conditionalFormatting>
  <conditionalFormatting sqref="D27:D28">
    <cfRule type="containsText" dxfId="42" priority="113" operator="containsText" text="!!!">
      <formula>NOT(ISERROR(SEARCH("!!!",D27)))</formula>
    </cfRule>
    <cfRule type="cellIs" dxfId="41" priority="108" operator="between">
      <formula>($D$12-0.001)</formula>
      <formula>$D$13+0.001</formula>
    </cfRule>
    <cfRule type="cellIs" dxfId="40" priority="109" operator="greaterThan">
      <formula>$D$13</formula>
    </cfRule>
    <cfRule type="cellIs" dxfId="39" priority="110" operator="lessThan">
      <formula>$D$12</formula>
    </cfRule>
  </conditionalFormatting>
  <conditionalFormatting sqref="D28">
    <cfRule type="cellIs" dxfId="38" priority="1" operator="greaterThan">
      <formula>0.3</formula>
    </cfRule>
    <cfRule type="cellIs" dxfId="37" priority="2" operator="lessThanOrEqual">
      <formula>0.3</formula>
    </cfRule>
  </conditionalFormatting>
  <conditionalFormatting sqref="D58">
    <cfRule type="cellIs" dxfId="36" priority="74" operator="greaterThan">
      <formula>0</formula>
    </cfRule>
    <cfRule type="cellIs" dxfId="35" priority="73" operator="lessThan">
      <formula>0</formula>
    </cfRule>
  </conditionalFormatting>
  <conditionalFormatting sqref="D59">
    <cfRule type="cellIs" dxfId="34" priority="68" operator="greaterThan">
      <formula>0</formula>
    </cfRule>
    <cfRule type="containsText" dxfId="33" priority="67" operator="containsText" text="geen">
      <formula>NOT(ISERROR(SEARCH("geen",D59)))</formula>
    </cfRule>
  </conditionalFormatting>
  <conditionalFormatting sqref="D68">
    <cfRule type="cellIs" dxfId="32" priority="72" operator="greaterThan">
      <formula>0</formula>
    </cfRule>
    <cfRule type="cellIs" dxfId="31" priority="71" operator="lessThan">
      <formula>0</formula>
    </cfRule>
  </conditionalFormatting>
  <conditionalFormatting sqref="D69">
    <cfRule type="cellIs" dxfId="30" priority="66" operator="greaterThan">
      <formula>0</formula>
    </cfRule>
    <cfRule type="containsText" dxfId="29" priority="65" operator="containsText" text="geen">
      <formula>NOT(ISERROR(SEARCH("geen",D69)))</formula>
    </cfRule>
  </conditionalFormatting>
  <conditionalFormatting sqref="I7:K13">
    <cfRule type="containsBlanks" dxfId="28" priority="78">
      <formula>LEN(TRIM(I7))=0</formula>
    </cfRule>
  </conditionalFormatting>
  <conditionalFormatting sqref="J38:J39">
    <cfRule type="containsText" dxfId="27" priority="61" operator="containsText" text="!!!">
      <formula>NOT(ISERROR(SEARCH("!!!",J38)))</formula>
    </cfRule>
  </conditionalFormatting>
  <conditionalFormatting sqref="J44:J45">
    <cfRule type="containsText" dxfId="26" priority="57" operator="containsText" text="!!!">
      <formula>NOT(ISERROR(SEARCH("!!!",J44)))</formula>
    </cfRule>
  </conditionalFormatting>
  <conditionalFormatting sqref="J52">
    <cfRule type="cellIs" dxfId="25" priority="59" operator="lessThan">
      <formula>0</formula>
    </cfRule>
    <cfRule type="cellIs" dxfId="24" priority="60" operator="greaterThan">
      <formula>0</formula>
    </cfRule>
  </conditionalFormatting>
  <conditionalFormatting sqref="J53">
    <cfRule type="cellIs" dxfId="23" priority="12" operator="greaterThan">
      <formula>0</formula>
    </cfRule>
    <cfRule type="containsText" dxfId="22" priority="13" operator="containsText" text="geen">
      <formula>NOT(ISERROR(SEARCH("geen",J53)))</formula>
    </cfRule>
  </conditionalFormatting>
  <conditionalFormatting sqref="J59">
    <cfRule type="cellIs" dxfId="21" priority="54" operator="greaterThan">
      <formula>0</formula>
    </cfRule>
    <cfRule type="cellIs" dxfId="20" priority="53" operator="lessThan">
      <formula>0</formula>
    </cfRule>
  </conditionalFormatting>
  <conditionalFormatting sqref="J60">
    <cfRule type="containsText" dxfId="19" priority="51" operator="containsText" text="geen">
      <formula>NOT(ISERROR(SEARCH("geen",J60)))</formula>
    </cfRule>
    <cfRule type="cellIs" dxfId="18" priority="50" operator="greaterThan">
      <formula>0</formula>
    </cfRule>
  </conditionalFormatting>
  <conditionalFormatting sqref="Q38:Q39">
    <cfRule type="cellIs" dxfId="17" priority="41" operator="greaterThan">
      <formula>0</formula>
    </cfRule>
  </conditionalFormatting>
  <conditionalFormatting sqref="Q46:Q47">
    <cfRule type="cellIs" dxfId="16" priority="38" operator="greaterThan">
      <formula>0</formula>
    </cfRule>
  </conditionalFormatting>
  <conditionalFormatting sqref="Q54:Q55">
    <cfRule type="cellIs" dxfId="15" priority="35" operator="greaterThan">
      <formula>0</formula>
    </cfRule>
  </conditionalFormatting>
  <conditionalFormatting sqref="Q62:Q63">
    <cfRule type="cellIs" dxfId="14" priority="32" operator="greaterThan">
      <formula>0</formula>
    </cfRule>
  </conditionalFormatting>
  <conditionalFormatting sqref="Q70:Q71">
    <cfRule type="cellIs" dxfId="13" priority="29" operator="greaterThan">
      <formula>0</formula>
    </cfRule>
  </conditionalFormatting>
  <conditionalFormatting sqref="Q78">
    <cfRule type="cellIs" dxfId="12" priority="28" operator="greaterThan">
      <formula>0</formula>
    </cfRule>
    <cfRule type="cellIs" dxfId="11" priority="27" operator="lessThan">
      <formula>0</formula>
    </cfRule>
  </conditionalFormatting>
  <conditionalFormatting sqref="Q79:Q80">
    <cfRule type="cellIs" dxfId="10" priority="26" operator="greaterThan">
      <formula>0</formula>
    </cfRule>
  </conditionalFormatting>
  <conditionalFormatting sqref="Q87">
    <cfRule type="cellIs" dxfId="9" priority="25" operator="greaterThan">
      <formula>0</formula>
    </cfRule>
    <cfRule type="cellIs" dxfId="8" priority="24" operator="lessThan">
      <formula>0</formula>
    </cfRule>
  </conditionalFormatting>
  <conditionalFormatting sqref="Q88:Q89">
    <cfRule type="cellIs" dxfId="7" priority="23" operator="greaterThan">
      <formula>0</formula>
    </cfRule>
  </conditionalFormatting>
  <conditionalFormatting sqref="Q96">
    <cfRule type="cellIs" dxfId="6" priority="18" operator="lessThan">
      <formula>0</formula>
    </cfRule>
    <cfRule type="cellIs" dxfId="5" priority="19" operator="greaterThan">
      <formula>0</formula>
    </cfRule>
  </conditionalFormatting>
  <conditionalFormatting sqref="Q97:Q98">
    <cfRule type="cellIs" dxfId="4" priority="17" operator="greaterThan">
      <formula>0</formula>
    </cfRule>
  </conditionalFormatting>
  <conditionalFormatting sqref="X37">
    <cfRule type="cellIs" dxfId="3" priority="16" operator="greaterThan">
      <formula>0</formula>
    </cfRule>
    <cfRule type="cellIs" dxfId="2" priority="15" operator="lessThan">
      <formula>0</formula>
    </cfRule>
  </conditionalFormatting>
  <conditionalFormatting sqref="X38:X39">
    <cfRule type="cellIs" dxfId="1" priority="14" operator="greaterThan">
      <formula>0</formula>
    </cfRule>
  </conditionalFormatting>
  <conditionalFormatting sqref="AE38:AE40">
    <cfRule type="cellIs" dxfId="0" priority="5" operator="greaterThan">
      <formula>0</formula>
    </cfRule>
  </conditionalFormatting>
  <pageMargins left="0.7" right="0.7" top="0.75" bottom="0.75" header="0.3" footer="0.3"/>
  <pageSetup paperSize="9" orientation="portrait" r:id="rId1"/>
  <headerFooter>
    <oddFooter>&amp;L_x000D_&amp;1#&amp;"Calibri"&amp;10&amp;K000000 Intern gebruik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81E14-BD8A-419F-ACA7-3C2EF7E3F3C6}">
  <sheetPr codeName="Blad12">
    <tabColor rgb="FF7030A0"/>
  </sheetPr>
  <dimension ref="B1:T202"/>
  <sheetViews>
    <sheetView zoomScale="76" workbookViewId="0">
      <selection activeCell="F39" sqref="F39"/>
    </sheetView>
  </sheetViews>
  <sheetFormatPr defaultColWidth="9.140625" defaultRowHeight="12"/>
  <cols>
    <col min="1" max="1" width="9.140625" style="1"/>
    <col min="2" max="2" width="37.140625" style="1" bestFit="1" customWidth="1"/>
    <col min="3" max="3" width="17.5703125" style="1" bestFit="1" customWidth="1"/>
    <col min="4" max="4" width="23.7109375" style="1" bestFit="1" customWidth="1"/>
    <col min="5" max="5" width="23.85546875" style="1" bestFit="1" customWidth="1"/>
    <col min="6" max="6" width="26.7109375" style="1" bestFit="1" customWidth="1"/>
    <col min="7" max="7" width="30.140625" style="1" bestFit="1" customWidth="1"/>
    <col min="8" max="8" width="29.42578125" style="1" bestFit="1" customWidth="1"/>
    <col min="9" max="9" width="17.5703125" style="1" bestFit="1" customWidth="1"/>
    <col min="10" max="10" width="24.140625" style="1" bestFit="1" customWidth="1"/>
    <col min="11" max="11" width="23.85546875" style="1" bestFit="1" customWidth="1"/>
    <col min="12" max="12" width="26.7109375" style="1" bestFit="1" customWidth="1"/>
    <col min="13" max="13" width="36.85546875" style="1" customWidth="1"/>
    <col min="14" max="14" width="29.42578125" style="1" bestFit="1" customWidth="1"/>
    <col min="15" max="15" width="17" style="1" bestFit="1" customWidth="1"/>
    <col min="16" max="16" width="24.42578125" style="1" bestFit="1" customWidth="1"/>
    <col min="17" max="17" width="23.85546875" style="1" bestFit="1" customWidth="1"/>
    <col min="18" max="18" width="26.7109375" style="1" bestFit="1" customWidth="1"/>
    <col min="19" max="19" width="30" style="1" bestFit="1" customWidth="1"/>
    <col min="20" max="20" width="29.28515625" style="1" bestFit="1" customWidth="1"/>
    <col min="21" max="16384" width="9.140625" style="1"/>
  </cols>
  <sheetData>
    <row r="1" spans="2:14" ht="12.75" thickBot="1"/>
    <row r="2" spans="2:14" ht="15.75" thickBot="1">
      <c r="B2" s="133" t="s">
        <v>452</v>
      </c>
      <c r="C2" s="134" t="str">
        <f>'Sloop-nieuwbouw plannen'!D17</f>
        <v>Rijwoning</v>
      </c>
      <c r="D2" s="134" t="str">
        <f>'Sloop-nieuwbouw plannen'!E17</f>
        <v>Twee onder een kap</v>
      </c>
      <c r="E2" s="134" t="str">
        <f>'Sloop-nieuwbouw plannen'!F17</f>
        <v>Vrijstaande 
woning</v>
      </c>
      <c r="F2" s="134" t="str">
        <f>'Sloop-nieuwbouw plannen'!G17</f>
        <v>Gestapeld 
t/m 4 lagen</v>
      </c>
      <c r="G2" s="134" t="str">
        <f>'Sloop-nieuwbouw plannen'!H17</f>
        <v>Gestapeld 
5 t/m 12 lagen</v>
      </c>
      <c r="H2" s="134" t="str">
        <f>'Sloop-nieuwbouw plannen'!I17</f>
        <v>Gestapeld 13 of meer lagen</v>
      </c>
      <c r="J2" s="145" t="s">
        <v>458</v>
      </c>
      <c r="K2" s="134" t="s">
        <v>459</v>
      </c>
      <c r="M2" s="145" t="s">
        <v>470</v>
      </c>
      <c r="N2" s="134" t="s">
        <v>459</v>
      </c>
    </row>
    <row r="3" spans="2:14" ht="20.25">
      <c r="B3" s="135" t="s">
        <v>453</v>
      </c>
      <c r="C3" s="138">
        <f>'Sloop-nieuwbouw plannen'!D26</f>
        <v>0</v>
      </c>
      <c r="D3" s="138">
        <f>'Sloop-nieuwbouw plannen'!E26</f>
        <v>0</v>
      </c>
      <c r="E3" s="138">
        <f>'Sloop-nieuwbouw plannen'!F26</f>
        <v>0</v>
      </c>
      <c r="F3" s="138">
        <f>'Sloop-nieuwbouw plannen'!G26</f>
        <v>0</v>
      </c>
      <c r="G3" s="138">
        <f>'Sloop-nieuwbouw plannen'!H26</f>
        <v>0</v>
      </c>
      <c r="H3" s="138">
        <f>'Sloop-nieuwbouw plannen'!I26</f>
        <v>0</v>
      </c>
      <c r="J3" s="146" t="s">
        <v>457</v>
      </c>
      <c r="K3" s="152">
        <v>0.02</v>
      </c>
      <c r="M3" s="146" t="s">
        <v>471</v>
      </c>
      <c r="N3" s="151">
        <f>SUM(O143:O202)</f>
        <v>0</v>
      </c>
    </row>
    <row r="4" spans="2:14" ht="15.75">
      <c r="B4" s="136" t="s">
        <v>454</v>
      </c>
      <c r="C4" s="139">
        <v>50</v>
      </c>
      <c r="D4" s="139">
        <v>50</v>
      </c>
      <c r="E4" s="139">
        <v>50</v>
      </c>
      <c r="F4" s="139">
        <v>50</v>
      </c>
      <c r="G4" s="139">
        <v>50</v>
      </c>
      <c r="H4" s="139">
        <v>50</v>
      </c>
      <c r="J4" s="146" t="s">
        <v>461</v>
      </c>
      <c r="K4" s="152">
        <v>0.02</v>
      </c>
    </row>
    <row r="5" spans="2:14" ht="15.75">
      <c r="B5" s="137" t="s">
        <v>460</v>
      </c>
      <c r="C5" s="140">
        <f>'Sloop-nieuwbouw plannen'!D39</f>
        <v>0</v>
      </c>
      <c r="D5" s="140">
        <f>'Sloop-nieuwbouw plannen'!E39</f>
        <v>0</v>
      </c>
      <c r="E5" s="140">
        <f>'Sloop-nieuwbouw plannen'!F39</f>
        <v>0</v>
      </c>
      <c r="F5" s="140">
        <f>'Sloop-nieuwbouw plannen'!G39</f>
        <v>0</v>
      </c>
      <c r="G5" s="140">
        <f>'Sloop-nieuwbouw plannen'!H39</f>
        <v>0</v>
      </c>
      <c r="H5" s="140">
        <f>'Sloop-nieuwbouw plannen'!I39</f>
        <v>0</v>
      </c>
      <c r="J5" s="146" t="s">
        <v>463</v>
      </c>
      <c r="K5" s="152">
        <v>0.02</v>
      </c>
    </row>
    <row r="6" spans="2:14" ht="15.75">
      <c r="B6" s="137" t="s">
        <v>472</v>
      </c>
      <c r="C6" s="280">
        <v>680</v>
      </c>
      <c r="D6" s="280">
        <v>680</v>
      </c>
      <c r="E6" s="280">
        <v>680</v>
      </c>
      <c r="F6" s="280">
        <v>780</v>
      </c>
      <c r="G6" s="280">
        <v>780</v>
      </c>
      <c r="H6" s="280">
        <v>780</v>
      </c>
      <c r="J6" s="146" t="s">
        <v>464</v>
      </c>
      <c r="K6" s="152">
        <v>0.02</v>
      </c>
    </row>
    <row r="7" spans="2:14" ht="15.75">
      <c r="B7" s="137" t="s">
        <v>463</v>
      </c>
      <c r="C7" s="280">
        <v>730</v>
      </c>
      <c r="D7" s="280">
        <v>730</v>
      </c>
      <c r="E7" s="280">
        <v>730</v>
      </c>
      <c r="F7" s="280">
        <v>780</v>
      </c>
      <c r="G7" s="280">
        <v>780</v>
      </c>
      <c r="H7" s="280">
        <v>780</v>
      </c>
      <c r="J7" s="146" t="s">
        <v>455</v>
      </c>
      <c r="K7" s="152">
        <v>0.01</v>
      </c>
    </row>
    <row r="8" spans="2:14" ht="15.75">
      <c r="B8" s="137" t="s">
        <v>464</v>
      </c>
      <c r="C8" s="280">
        <v>1750</v>
      </c>
      <c r="D8" s="280">
        <v>1750</v>
      </c>
      <c r="E8" s="280">
        <v>1750</v>
      </c>
      <c r="F8" s="280">
        <v>1750</v>
      </c>
      <c r="G8" s="280">
        <v>1750</v>
      </c>
      <c r="H8" s="280">
        <v>1750</v>
      </c>
      <c r="J8" s="146" t="s">
        <v>462</v>
      </c>
      <c r="K8" s="152">
        <v>0.06</v>
      </c>
    </row>
    <row r="9" spans="2:14" ht="15">
      <c r="J9" s="148"/>
      <c r="K9" s="144"/>
    </row>
    <row r="10" spans="2:14" ht="15">
      <c r="B10" s="143"/>
      <c r="C10" s="144"/>
      <c r="D10" s="144"/>
      <c r="E10" s="144"/>
      <c r="F10" s="144"/>
      <c r="G10" s="144"/>
      <c r="H10" s="144"/>
      <c r="J10" s="148"/>
      <c r="K10" s="144"/>
    </row>
    <row r="11" spans="2:14" ht="15.75" thickBot="1">
      <c r="B11" s="143"/>
      <c r="C11" s="144"/>
      <c r="D11" s="144"/>
      <c r="E11" s="144"/>
      <c r="F11" s="144"/>
      <c r="G11" s="144"/>
      <c r="H11" s="144"/>
    </row>
    <row r="12" spans="2:14" ht="15.75" thickBot="1">
      <c r="C12" s="474" t="s">
        <v>457</v>
      </c>
      <c r="D12" s="475"/>
      <c r="E12" s="475"/>
      <c r="F12" s="475"/>
      <c r="G12" s="475"/>
      <c r="H12" s="476"/>
      <c r="I12" s="474" t="s">
        <v>624</v>
      </c>
      <c r="J12" s="475"/>
      <c r="K12" s="475"/>
      <c r="L12" s="475"/>
      <c r="M12" s="475"/>
      <c r="N12" s="476"/>
    </row>
    <row r="13" spans="2:14" ht="15.75" thickBot="1">
      <c r="B13" s="141" t="s">
        <v>456</v>
      </c>
      <c r="C13" s="134" t="str">
        <f>C2</f>
        <v>Rijwoning</v>
      </c>
      <c r="D13" s="134" t="str">
        <f t="shared" ref="D13:H13" si="0">D2</f>
        <v>Twee onder een kap</v>
      </c>
      <c r="E13" s="134" t="str">
        <f t="shared" si="0"/>
        <v>Vrijstaande 
woning</v>
      </c>
      <c r="F13" s="134" t="str">
        <f t="shared" si="0"/>
        <v>Gestapeld 
t/m 4 lagen</v>
      </c>
      <c r="G13" s="134" t="str">
        <f t="shared" si="0"/>
        <v>Gestapeld 
5 t/m 12 lagen</v>
      </c>
      <c r="H13" s="134" t="str">
        <f t="shared" si="0"/>
        <v>Gestapeld 13 of meer lagen</v>
      </c>
      <c r="I13" s="134" t="str">
        <f t="shared" ref="I13:N13" si="1">C2</f>
        <v>Rijwoning</v>
      </c>
      <c r="J13" s="134" t="str">
        <f t="shared" si="1"/>
        <v>Twee onder een kap</v>
      </c>
      <c r="K13" s="134" t="str">
        <f t="shared" si="1"/>
        <v>Vrijstaande 
woning</v>
      </c>
      <c r="L13" s="134" t="str">
        <f t="shared" si="1"/>
        <v>Gestapeld 
t/m 4 lagen</v>
      </c>
      <c r="M13" s="134" t="str">
        <f t="shared" si="1"/>
        <v>Gestapeld 
5 t/m 12 lagen</v>
      </c>
      <c r="N13" s="134" t="str">
        <f t="shared" si="1"/>
        <v>Gestapeld 13 of meer lagen</v>
      </c>
    </row>
    <row r="14" spans="2:14" ht="15">
      <c r="B14" s="281">
        <v>2024</v>
      </c>
      <c r="C14" s="147">
        <f t="shared" ref="C14:H29" si="2">+IF($B14="","",(C$3*(C$5*12))*(1+$K$3)^($B14-$B$14))</f>
        <v>0</v>
      </c>
      <c r="D14" s="147">
        <f t="shared" si="2"/>
        <v>0</v>
      </c>
      <c r="E14" s="147">
        <f t="shared" si="2"/>
        <v>0</v>
      </c>
      <c r="F14" s="147">
        <f t="shared" si="2"/>
        <v>0</v>
      </c>
      <c r="G14" s="147">
        <f t="shared" si="2"/>
        <v>0</v>
      </c>
      <c r="H14" s="147">
        <f t="shared" si="2"/>
        <v>0</v>
      </c>
      <c r="I14" s="147">
        <f t="shared" ref="I14:N29" si="3">+IF($B14="","",C14*$K$7)</f>
        <v>0</v>
      </c>
      <c r="J14" s="147">
        <f t="shared" si="3"/>
        <v>0</v>
      </c>
      <c r="K14" s="147">
        <f t="shared" si="3"/>
        <v>0</v>
      </c>
      <c r="L14" s="147">
        <f t="shared" si="3"/>
        <v>0</v>
      </c>
      <c r="M14" s="147">
        <f t="shared" si="3"/>
        <v>0</v>
      </c>
      <c r="N14" s="147">
        <f t="shared" si="3"/>
        <v>0</v>
      </c>
    </row>
    <row r="15" spans="2:14" ht="15">
      <c r="B15" s="142">
        <f t="shared" ref="B15:B73" si="4">+IF(B14="","",IF($B$14+$C$4&gt;B14+1,B14+1,""))</f>
        <v>2025</v>
      </c>
      <c r="C15" s="147">
        <f t="shared" si="2"/>
        <v>0</v>
      </c>
      <c r="D15" s="147">
        <f t="shared" si="2"/>
        <v>0</v>
      </c>
      <c r="E15" s="147">
        <f t="shared" si="2"/>
        <v>0</v>
      </c>
      <c r="F15" s="147">
        <f t="shared" si="2"/>
        <v>0</v>
      </c>
      <c r="G15" s="147">
        <f t="shared" si="2"/>
        <v>0</v>
      </c>
      <c r="H15" s="147">
        <f t="shared" si="2"/>
        <v>0</v>
      </c>
      <c r="I15" s="147">
        <f t="shared" si="3"/>
        <v>0</v>
      </c>
      <c r="J15" s="147">
        <f t="shared" si="3"/>
        <v>0</v>
      </c>
      <c r="K15" s="147">
        <f t="shared" si="3"/>
        <v>0</v>
      </c>
      <c r="L15" s="147">
        <f t="shared" si="3"/>
        <v>0</v>
      </c>
      <c r="M15" s="147">
        <f t="shared" si="3"/>
        <v>0</v>
      </c>
      <c r="N15" s="147">
        <f t="shared" si="3"/>
        <v>0</v>
      </c>
    </row>
    <row r="16" spans="2:14" ht="15">
      <c r="B16" s="142">
        <f t="shared" si="4"/>
        <v>2026</v>
      </c>
      <c r="C16" s="147">
        <f t="shared" si="2"/>
        <v>0</v>
      </c>
      <c r="D16" s="147">
        <f t="shared" si="2"/>
        <v>0</v>
      </c>
      <c r="E16" s="147">
        <f t="shared" si="2"/>
        <v>0</v>
      </c>
      <c r="F16" s="147">
        <f t="shared" si="2"/>
        <v>0</v>
      </c>
      <c r="G16" s="147">
        <f t="shared" si="2"/>
        <v>0</v>
      </c>
      <c r="H16" s="147">
        <f t="shared" si="2"/>
        <v>0</v>
      </c>
      <c r="I16" s="147">
        <f t="shared" si="3"/>
        <v>0</v>
      </c>
      <c r="J16" s="147">
        <f t="shared" si="3"/>
        <v>0</v>
      </c>
      <c r="K16" s="147">
        <f t="shared" si="3"/>
        <v>0</v>
      </c>
      <c r="L16" s="147">
        <f t="shared" si="3"/>
        <v>0</v>
      </c>
      <c r="M16" s="147">
        <f t="shared" si="3"/>
        <v>0</v>
      </c>
      <c r="N16" s="147">
        <f t="shared" si="3"/>
        <v>0</v>
      </c>
    </row>
    <row r="17" spans="2:14" ht="15">
      <c r="B17" s="142">
        <f t="shared" si="4"/>
        <v>2027</v>
      </c>
      <c r="C17" s="147">
        <f t="shared" si="2"/>
        <v>0</v>
      </c>
      <c r="D17" s="147">
        <f t="shared" si="2"/>
        <v>0</v>
      </c>
      <c r="E17" s="147">
        <f t="shared" si="2"/>
        <v>0</v>
      </c>
      <c r="F17" s="147">
        <f t="shared" si="2"/>
        <v>0</v>
      </c>
      <c r="G17" s="147">
        <f t="shared" si="2"/>
        <v>0</v>
      </c>
      <c r="H17" s="147">
        <f t="shared" si="2"/>
        <v>0</v>
      </c>
      <c r="I17" s="147">
        <f t="shared" si="3"/>
        <v>0</v>
      </c>
      <c r="J17" s="147">
        <f t="shared" si="3"/>
        <v>0</v>
      </c>
      <c r="K17" s="147">
        <f t="shared" si="3"/>
        <v>0</v>
      </c>
      <c r="L17" s="147">
        <f t="shared" si="3"/>
        <v>0</v>
      </c>
      <c r="M17" s="147">
        <f t="shared" si="3"/>
        <v>0</v>
      </c>
      <c r="N17" s="147">
        <f t="shared" si="3"/>
        <v>0</v>
      </c>
    </row>
    <row r="18" spans="2:14" ht="15">
      <c r="B18" s="142">
        <f t="shared" si="4"/>
        <v>2028</v>
      </c>
      <c r="C18" s="147">
        <f t="shared" si="2"/>
        <v>0</v>
      </c>
      <c r="D18" s="147">
        <f t="shared" si="2"/>
        <v>0</v>
      </c>
      <c r="E18" s="147">
        <f t="shared" si="2"/>
        <v>0</v>
      </c>
      <c r="F18" s="147">
        <f t="shared" si="2"/>
        <v>0</v>
      </c>
      <c r="G18" s="147">
        <f t="shared" si="2"/>
        <v>0</v>
      </c>
      <c r="H18" s="147">
        <f t="shared" si="2"/>
        <v>0</v>
      </c>
      <c r="I18" s="147">
        <f t="shared" si="3"/>
        <v>0</v>
      </c>
      <c r="J18" s="147">
        <f t="shared" si="3"/>
        <v>0</v>
      </c>
      <c r="K18" s="147">
        <f t="shared" si="3"/>
        <v>0</v>
      </c>
      <c r="L18" s="147">
        <f t="shared" si="3"/>
        <v>0</v>
      </c>
      <c r="M18" s="147">
        <f t="shared" si="3"/>
        <v>0</v>
      </c>
      <c r="N18" s="147">
        <f t="shared" si="3"/>
        <v>0</v>
      </c>
    </row>
    <row r="19" spans="2:14" ht="15">
      <c r="B19" s="142">
        <f t="shared" si="4"/>
        <v>2029</v>
      </c>
      <c r="C19" s="147">
        <f t="shared" si="2"/>
        <v>0</v>
      </c>
      <c r="D19" s="147">
        <f t="shared" si="2"/>
        <v>0</v>
      </c>
      <c r="E19" s="147">
        <f t="shared" si="2"/>
        <v>0</v>
      </c>
      <c r="F19" s="147">
        <f t="shared" si="2"/>
        <v>0</v>
      </c>
      <c r="G19" s="147">
        <f t="shared" si="2"/>
        <v>0</v>
      </c>
      <c r="H19" s="147">
        <f t="shared" si="2"/>
        <v>0</v>
      </c>
      <c r="I19" s="147">
        <f t="shared" si="3"/>
        <v>0</v>
      </c>
      <c r="J19" s="147">
        <f t="shared" si="3"/>
        <v>0</v>
      </c>
      <c r="K19" s="147">
        <f t="shared" si="3"/>
        <v>0</v>
      </c>
      <c r="L19" s="147">
        <f t="shared" si="3"/>
        <v>0</v>
      </c>
      <c r="M19" s="147">
        <f t="shared" si="3"/>
        <v>0</v>
      </c>
      <c r="N19" s="147">
        <f t="shared" si="3"/>
        <v>0</v>
      </c>
    </row>
    <row r="20" spans="2:14" ht="15">
      <c r="B20" s="142">
        <f t="shared" si="4"/>
        <v>2030</v>
      </c>
      <c r="C20" s="147">
        <f t="shared" si="2"/>
        <v>0</v>
      </c>
      <c r="D20" s="147">
        <f t="shared" si="2"/>
        <v>0</v>
      </c>
      <c r="E20" s="147">
        <f t="shared" si="2"/>
        <v>0</v>
      </c>
      <c r="F20" s="147">
        <f t="shared" si="2"/>
        <v>0</v>
      </c>
      <c r="G20" s="147">
        <f t="shared" si="2"/>
        <v>0</v>
      </c>
      <c r="H20" s="147">
        <f t="shared" si="2"/>
        <v>0</v>
      </c>
      <c r="I20" s="147">
        <f t="shared" si="3"/>
        <v>0</v>
      </c>
      <c r="J20" s="147">
        <f t="shared" si="3"/>
        <v>0</v>
      </c>
      <c r="K20" s="147">
        <f t="shared" si="3"/>
        <v>0</v>
      </c>
      <c r="L20" s="147">
        <f t="shared" si="3"/>
        <v>0</v>
      </c>
      <c r="M20" s="147">
        <f t="shared" si="3"/>
        <v>0</v>
      </c>
      <c r="N20" s="147">
        <f t="shared" si="3"/>
        <v>0</v>
      </c>
    </row>
    <row r="21" spans="2:14" ht="15">
      <c r="B21" s="142">
        <f t="shared" si="4"/>
        <v>2031</v>
      </c>
      <c r="C21" s="147">
        <f t="shared" si="2"/>
        <v>0</v>
      </c>
      <c r="D21" s="147">
        <f t="shared" si="2"/>
        <v>0</v>
      </c>
      <c r="E21" s="147">
        <f t="shared" si="2"/>
        <v>0</v>
      </c>
      <c r="F21" s="147">
        <f t="shared" si="2"/>
        <v>0</v>
      </c>
      <c r="G21" s="147">
        <f t="shared" si="2"/>
        <v>0</v>
      </c>
      <c r="H21" s="147">
        <f t="shared" si="2"/>
        <v>0</v>
      </c>
      <c r="I21" s="147">
        <f t="shared" si="3"/>
        <v>0</v>
      </c>
      <c r="J21" s="147">
        <f t="shared" si="3"/>
        <v>0</v>
      </c>
      <c r="K21" s="147">
        <f t="shared" si="3"/>
        <v>0</v>
      </c>
      <c r="L21" s="147">
        <f t="shared" si="3"/>
        <v>0</v>
      </c>
      <c r="M21" s="147">
        <f t="shared" si="3"/>
        <v>0</v>
      </c>
      <c r="N21" s="147">
        <f t="shared" si="3"/>
        <v>0</v>
      </c>
    </row>
    <row r="22" spans="2:14" ht="15">
      <c r="B22" s="142">
        <f t="shared" si="4"/>
        <v>2032</v>
      </c>
      <c r="C22" s="147">
        <f t="shared" si="2"/>
        <v>0</v>
      </c>
      <c r="D22" s="147">
        <f t="shared" si="2"/>
        <v>0</v>
      </c>
      <c r="E22" s="147">
        <f t="shared" si="2"/>
        <v>0</v>
      </c>
      <c r="F22" s="147">
        <f t="shared" si="2"/>
        <v>0</v>
      </c>
      <c r="G22" s="147">
        <f t="shared" si="2"/>
        <v>0</v>
      </c>
      <c r="H22" s="147">
        <f t="shared" si="2"/>
        <v>0</v>
      </c>
      <c r="I22" s="147">
        <f t="shared" si="3"/>
        <v>0</v>
      </c>
      <c r="J22" s="147">
        <f t="shared" si="3"/>
        <v>0</v>
      </c>
      <c r="K22" s="147">
        <f t="shared" si="3"/>
        <v>0</v>
      </c>
      <c r="L22" s="147">
        <f t="shared" si="3"/>
        <v>0</v>
      </c>
      <c r="M22" s="147">
        <f t="shared" si="3"/>
        <v>0</v>
      </c>
      <c r="N22" s="147">
        <f t="shared" si="3"/>
        <v>0</v>
      </c>
    </row>
    <row r="23" spans="2:14" ht="15">
      <c r="B23" s="142">
        <f t="shared" si="4"/>
        <v>2033</v>
      </c>
      <c r="C23" s="147">
        <f t="shared" si="2"/>
        <v>0</v>
      </c>
      <c r="D23" s="147">
        <f t="shared" si="2"/>
        <v>0</v>
      </c>
      <c r="E23" s="147">
        <f t="shared" si="2"/>
        <v>0</v>
      </c>
      <c r="F23" s="147">
        <f t="shared" si="2"/>
        <v>0</v>
      </c>
      <c r="G23" s="147">
        <f t="shared" si="2"/>
        <v>0</v>
      </c>
      <c r="H23" s="147">
        <f t="shared" si="2"/>
        <v>0</v>
      </c>
      <c r="I23" s="147">
        <f t="shared" si="3"/>
        <v>0</v>
      </c>
      <c r="J23" s="147">
        <f t="shared" si="3"/>
        <v>0</v>
      </c>
      <c r="K23" s="147">
        <f t="shared" si="3"/>
        <v>0</v>
      </c>
      <c r="L23" s="147">
        <f t="shared" si="3"/>
        <v>0</v>
      </c>
      <c r="M23" s="147">
        <f t="shared" si="3"/>
        <v>0</v>
      </c>
      <c r="N23" s="147">
        <f t="shared" si="3"/>
        <v>0</v>
      </c>
    </row>
    <row r="24" spans="2:14" ht="15">
      <c r="B24" s="142">
        <f t="shared" si="4"/>
        <v>2034</v>
      </c>
      <c r="C24" s="147">
        <f t="shared" si="2"/>
        <v>0</v>
      </c>
      <c r="D24" s="147">
        <f t="shared" si="2"/>
        <v>0</v>
      </c>
      <c r="E24" s="147">
        <f t="shared" si="2"/>
        <v>0</v>
      </c>
      <c r="F24" s="147">
        <f t="shared" si="2"/>
        <v>0</v>
      </c>
      <c r="G24" s="147">
        <f t="shared" si="2"/>
        <v>0</v>
      </c>
      <c r="H24" s="147">
        <f t="shared" si="2"/>
        <v>0</v>
      </c>
      <c r="I24" s="147">
        <f t="shared" si="3"/>
        <v>0</v>
      </c>
      <c r="J24" s="147">
        <f t="shared" si="3"/>
        <v>0</v>
      </c>
      <c r="K24" s="147">
        <f t="shared" si="3"/>
        <v>0</v>
      </c>
      <c r="L24" s="147">
        <f t="shared" si="3"/>
        <v>0</v>
      </c>
      <c r="M24" s="147">
        <f t="shared" si="3"/>
        <v>0</v>
      </c>
      <c r="N24" s="147">
        <f t="shared" si="3"/>
        <v>0</v>
      </c>
    </row>
    <row r="25" spans="2:14" ht="15">
      <c r="B25" s="142">
        <f t="shared" si="4"/>
        <v>2035</v>
      </c>
      <c r="C25" s="147">
        <f t="shared" si="2"/>
        <v>0</v>
      </c>
      <c r="D25" s="147">
        <f t="shared" si="2"/>
        <v>0</v>
      </c>
      <c r="E25" s="147">
        <f t="shared" si="2"/>
        <v>0</v>
      </c>
      <c r="F25" s="147">
        <f t="shared" si="2"/>
        <v>0</v>
      </c>
      <c r="G25" s="147">
        <f t="shared" si="2"/>
        <v>0</v>
      </c>
      <c r="H25" s="147">
        <f t="shared" si="2"/>
        <v>0</v>
      </c>
      <c r="I25" s="147">
        <f t="shared" si="3"/>
        <v>0</v>
      </c>
      <c r="J25" s="147">
        <f t="shared" si="3"/>
        <v>0</v>
      </c>
      <c r="K25" s="147">
        <f t="shared" si="3"/>
        <v>0</v>
      </c>
      <c r="L25" s="147">
        <f t="shared" si="3"/>
        <v>0</v>
      </c>
      <c r="M25" s="147">
        <f t="shared" si="3"/>
        <v>0</v>
      </c>
      <c r="N25" s="147">
        <f t="shared" si="3"/>
        <v>0</v>
      </c>
    </row>
    <row r="26" spans="2:14" ht="15">
      <c r="B26" s="142">
        <f t="shared" si="4"/>
        <v>2036</v>
      </c>
      <c r="C26" s="147">
        <f t="shared" si="2"/>
        <v>0</v>
      </c>
      <c r="D26" s="147">
        <f t="shared" si="2"/>
        <v>0</v>
      </c>
      <c r="E26" s="147">
        <f t="shared" si="2"/>
        <v>0</v>
      </c>
      <c r="F26" s="147">
        <f t="shared" si="2"/>
        <v>0</v>
      </c>
      <c r="G26" s="147">
        <f t="shared" si="2"/>
        <v>0</v>
      </c>
      <c r="H26" s="147">
        <f t="shared" si="2"/>
        <v>0</v>
      </c>
      <c r="I26" s="147">
        <f t="shared" si="3"/>
        <v>0</v>
      </c>
      <c r="J26" s="147">
        <f t="shared" si="3"/>
        <v>0</v>
      </c>
      <c r="K26" s="147">
        <f t="shared" si="3"/>
        <v>0</v>
      </c>
      <c r="L26" s="147">
        <f t="shared" si="3"/>
        <v>0</v>
      </c>
      <c r="M26" s="147">
        <f t="shared" si="3"/>
        <v>0</v>
      </c>
      <c r="N26" s="147">
        <f t="shared" si="3"/>
        <v>0</v>
      </c>
    </row>
    <row r="27" spans="2:14" ht="15">
      <c r="B27" s="142">
        <f t="shared" si="4"/>
        <v>2037</v>
      </c>
      <c r="C27" s="147">
        <f t="shared" si="2"/>
        <v>0</v>
      </c>
      <c r="D27" s="147">
        <f t="shared" si="2"/>
        <v>0</v>
      </c>
      <c r="E27" s="147">
        <f t="shared" si="2"/>
        <v>0</v>
      </c>
      <c r="F27" s="147">
        <f t="shared" si="2"/>
        <v>0</v>
      </c>
      <c r="G27" s="147">
        <f t="shared" si="2"/>
        <v>0</v>
      </c>
      <c r="H27" s="147">
        <f t="shared" si="2"/>
        <v>0</v>
      </c>
      <c r="I27" s="147">
        <f t="shared" si="3"/>
        <v>0</v>
      </c>
      <c r="J27" s="147">
        <f t="shared" si="3"/>
        <v>0</v>
      </c>
      <c r="K27" s="147">
        <f t="shared" si="3"/>
        <v>0</v>
      </c>
      <c r="L27" s="147">
        <f t="shared" si="3"/>
        <v>0</v>
      </c>
      <c r="M27" s="147">
        <f t="shared" si="3"/>
        <v>0</v>
      </c>
      <c r="N27" s="147">
        <f t="shared" si="3"/>
        <v>0</v>
      </c>
    </row>
    <row r="28" spans="2:14" ht="15">
      <c r="B28" s="142">
        <f t="shared" si="4"/>
        <v>2038</v>
      </c>
      <c r="C28" s="147">
        <f t="shared" si="2"/>
        <v>0</v>
      </c>
      <c r="D28" s="147">
        <f t="shared" si="2"/>
        <v>0</v>
      </c>
      <c r="E28" s="147">
        <f t="shared" si="2"/>
        <v>0</v>
      </c>
      <c r="F28" s="147">
        <f t="shared" si="2"/>
        <v>0</v>
      </c>
      <c r="G28" s="147">
        <f t="shared" si="2"/>
        <v>0</v>
      </c>
      <c r="H28" s="147">
        <f t="shared" si="2"/>
        <v>0</v>
      </c>
      <c r="I28" s="147">
        <f t="shared" si="3"/>
        <v>0</v>
      </c>
      <c r="J28" s="147">
        <f t="shared" si="3"/>
        <v>0</v>
      </c>
      <c r="K28" s="147">
        <f t="shared" si="3"/>
        <v>0</v>
      </c>
      <c r="L28" s="147">
        <f t="shared" si="3"/>
        <v>0</v>
      </c>
      <c r="M28" s="147">
        <f t="shared" si="3"/>
        <v>0</v>
      </c>
      <c r="N28" s="147">
        <f t="shared" si="3"/>
        <v>0</v>
      </c>
    </row>
    <row r="29" spans="2:14" ht="15">
      <c r="B29" s="142">
        <f t="shared" si="4"/>
        <v>2039</v>
      </c>
      <c r="C29" s="147">
        <f t="shared" si="2"/>
        <v>0</v>
      </c>
      <c r="D29" s="147">
        <f t="shared" si="2"/>
        <v>0</v>
      </c>
      <c r="E29" s="147">
        <f t="shared" si="2"/>
        <v>0</v>
      </c>
      <c r="F29" s="147">
        <f t="shared" si="2"/>
        <v>0</v>
      </c>
      <c r="G29" s="147">
        <f t="shared" si="2"/>
        <v>0</v>
      </c>
      <c r="H29" s="147">
        <f t="shared" si="2"/>
        <v>0</v>
      </c>
      <c r="I29" s="147">
        <f t="shared" si="3"/>
        <v>0</v>
      </c>
      <c r="J29" s="147">
        <f t="shared" si="3"/>
        <v>0</v>
      </c>
      <c r="K29" s="147">
        <f t="shared" si="3"/>
        <v>0</v>
      </c>
      <c r="L29" s="147">
        <f t="shared" si="3"/>
        <v>0</v>
      </c>
      <c r="M29" s="147">
        <f t="shared" si="3"/>
        <v>0</v>
      </c>
      <c r="N29" s="147">
        <f t="shared" si="3"/>
        <v>0</v>
      </c>
    </row>
    <row r="30" spans="2:14" ht="15">
      <c r="B30" s="142">
        <f t="shared" si="4"/>
        <v>2040</v>
      </c>
      <c r="C30" s="147">
        <f t="shared" ref="C30:H45" si="5">+IF($B30="","",(C$3*(C$5*12))*(1+$K$3)^($B30-$B$14))</f>
        <v>0</v>
      </c>
      <c r="D30" s="147">
        <f t="shared" si="5"/>
        <v>0</v>
      </c>
      <c r="E30" s="147">
        <f t="shared" si="5"/>
        <v>0</v>
      </c>
      <c r="F30" s="147">
        <f t="shared" si="5"/>
        <v>0</v>
      </c>
      <c r="G30" s="147">
        <f t="shared" si="5"/>
        <v>0</v>
      </c>
      <c r="H30" s="147">
        <f t="shared" si="5"/>
        <v>0</v>
      </c>
      <c r="I30" s="147">
        <f t="shared" ref="I30:N72" si="6">+IF($B30="","",C30*$K$7)</f>
        <v>0</v>
      </c>
      <c r="J30" s="147">
        <f t="shared" si="6"/>
        <v>0</v>
      </c>
      <c r="K30" s="147">
        <f t="shared" si="6"/>
        <v>0</v>
      </c>
      <c r="L30" s="147">
        <f t="shared" si="6"/>
        <v>0</v>
      </c>
      <c r="M30" s="147">
        <f t="shared" si="6"/>
        <v>0</v>
      </c>
      <c r="N30" s="147">
        <f t="shared" si="6"/>
        <v>0</v>
      </c>
    </row>
    <row r="31" spans="2:14" ht="15">
      <c r="B31" s="142">
        <f t="shared" si="4"/>
        <v>2041</v>
      </c>
      <c r="C31" s="147">
        <f t="shared" si="5"/>
        <v>0</v>
      </c>
      <c r="D31" s="147">
        <f t="shared" si="5"/>
        <v>0</v>
      </c>
      <c r="E31" s="147">
        <f t="shared" si="5"/>
        <v>0</v>
      </c>
      <c r="F31" s="147">
        <f t="shared" si="5"/>
        <v>0</v>
      </c>
      <c r="G31" s="147">
        <f t="shared" si="5"/>
        <v>0</v>
      </c>
      <c r="H31" s="147">
        <f t="shared" si="5"/>
        <v>0</v>
      </c>
      <c r="I31" s="147">
        <f t="shared" si="6"/>
        <v>0</v>
      </c>
      <c r="J31" s="147">
        <f t="shared" si="6"/>
        <v>0</v>
      </c>
      <c r="K31" s="147">
        <f t="shared" si="6"/>
        <v>0</v>
      </c>
      <c r="L31" s="147">
        <f t="shared" si="6"/>
        <v>0</v>
      </c>
      <c r="M31" s="147">
        <f t="shared" si="6"/>
        <v>0</v>
      </c>
      <c r="N31" s="147">
        <f t="shared" si="6"/>
        <v>0</v>
      </c>
    </row>
    <row r="32" spans="2:14" ht="15">
      <c r="B32" s="142">
        <f t="shared" si="4"/>
        <v>2042</v>
      </c>
      <c r="C32" s="147">
        <f t="shared" si="5"/>
        <v>0</v>
      </c>
      <c r="D32" s="147">
        <f t="shared" si="5"/>
        <v>0</v>
      </c>
      <c r="E32" s="147">
        <f t="shared" si="5"/>
        <v>0</v>
      </c>
      <c r="F32" s="147">
        <f t="shared" si="5"/>
        <v>0</v>
      </c>
      <c r="G32" s="147">
        <f t="shared" si="5"/>
        <v>0</v>
      </c>
      <c r="H32" s="147">
        <f t="shared" si="5"/>
        <v>0</v>
      </c>
      <c r="I32" s="147">
        <f t="shared" si="6"/>
        <v>0</v>
      </c>
      <c r="J32" s="147">
        <f t="shared" si="6"/>
        <v>0</v>
      </c>
      <c r="K32" s="147">
        <f t="shared" si="6"/>
        <v>0</v>
      </c>
      <c r="L32" s="147">
        <f t="shared" si="6"/>
        <v>0</v>
      </c>
      <c r="M32" s="147">
        <f t="shared" si="6"/>
        <v>0</v>
      </c>
      <c r="N32" s="147">
        <f t="shared" si="6"/>
        <v>0</v>
      </c>
    </row>
    <row r="33" spans="2:14" ht="15">
      <c r="B33" s="142">
        <f t="shared" si="4"/>
        <v>2043</v>
      </c>
      <c r="C33" s="147">
        <f t="shared" si="5"/>
        <v>0</v>
      </c>
      <c r="D33" s="147">
        <f t="shared" si="5"/>
        <v>0</v>
      </c>
      <c r="E33" s="147">
        <f t="shared" si="5"/>
        <v>0</v>
      </c>
      <c r="F33" s="147">
        <f t="shared" si="5"/>
        <v>0</v>
      </c>
      <c r="G33" s="147">
        <f t="shared" si="5"/>
        <v>0</v>
      </c>
      <c r="H33" s="147">
        <f t="shared" si="5"/>
        <v>0</v>
      </c>
      <c r="I33" s="147">
        <f t="shared" si="6"/>
        <v>0</v>
      </c>
      <c r="J33" s="147">
        <f t="shared" si="6"/>
        <v>0</v>
      </c>
      <c r="K33" s="147">
        <f t="shared" si="6"/>
        <v>0</v>
      </c>
      <c r="L33" s="147">
        <f t="shared" si="6"/>
        <v>0</v>
      </c>
      <c r="M33" s="147">
        <f t="shared" si="6"/>
        <v>0</v>
      </c>
      <c r="N33" s="147">
        <f t="shared" si="6"/>
        <v>0</v>
      </c>
    </row>
    <row r="34" spans="2:14" ht="15">
      <c r="B34" s="142">
        <f t="shared" si="4"/>
        <v>2044</v>
      </c>
      <c r="C34" s="147">
        <f t="shared" si="5"/>
        <v>0</v>
      </c>
      <c r="D34" s="147">
        <f t="shared" si="5"/>
        <v>0</v>
      </c>
      <c r="E34" s="147">
        <f t="shared" si="5"/>
        <v>0</v>
      </c>
      <c r="F34" s="147">
        <f t="shared" si="5"/>
        <v>0</v>
      </c>
      <c r="G34" s="147">
        <f t="shared" si="5"/>
        <v>0</v>
      </c>
      <c r="H34" s="147">
        <f t="shared" si="5"/>
        <v>0</v>
      </c>
      <c r="I34" s="147">
        <f t="shared" si="6"/>
        <v>0</v>
      </c>
      <c r="J34" s="147">
        <f t="shared" si="6"/>
        <v>0</v>
      </c>
      <c r="K34" s="147">
        <f t="shared" si="6"/>
        <v>0</v>
      </c>
      <c r="L34" s="147">
        <f t="shared" si="6"/>
        <v>0</v>
      </c>
      <c r="M34" s="147">
        <f t="shared" si="6"/>
        <v>0</v>
      </c>
      <c r="N34" s="147">
        <f t="shared" si="6"/>
        <v>0</v>
      </c>
    </row>
    <row r="35" spans="2:14" ht="15">
      <c r="B35" s="142">
        <f t="shared" si="4"/>
        <v>2045</v>
      </c>
      <c r="C35" s="147">
        <f t="shared" si="5"/>
        <v>0</v>
      </c>
      <c r="D35" s="147">
        <f t="shared" si="5"/>
        <v>0</v>
      </c>
      <c r="E35" s="147">
        <f t="shared" si="5"/>
        <v>0</v>
      </c>
      <c r="F35" s="147">
        <f t="shared" si="5"/>
        <v>0</v>
      </c>
      <c r="G35" s="147">
        <f t="shared" si="5"/>
        <v>0</v>
      </c>
      <c r="H35" s="147">
        <f t="shared" si="5"/>
        <v>0</v>
      </c>
      <c r="I35" s="147">
        <f t="shared" si="6"/>
        <v>0</v>
      </c>
      <c r="J35" s="147">
        <f t="shared" si="6"/>
        <v>0</v>
      </c>
      <c r="K35" s="147">
        <f t="shared" si="6"/>
        <v>0</v>
      </c>
      <c r="L35" s="147">
        <f t="shared" si="6"/>
        <v>0</v>
      </c>
      <c r="M35" s="147">
        <f t="shared" si="6"/>
        <v>0</v>
      </c>
      <c r="N35" s="147">
        <f t="shared" si="6"/>
        <v>0</v>
      </c>
    </row>
    <row r="36" spans="2:14" ht="15">
      <c r="B36" s="142">
        <f t="shared" si="4"/>
        <v>2046</v>
      </c>
      <c r="C36" s="147">
        <f t="shared" si="5"/>
        <v>0</v>
      </c>
      <c r="D36" s="147">
        <f t="shared" si="5"/>
        <v>0</v>
      </c>
      <c r="E36" s="147">
        <f t="shared" si="5"/>
        <v>0</v>
      </c>
      <c r="F36" s="147">
        <f t="shared" si="5"/>
        <v>0</v>
      </c>
      <c r="G36" s="147">
        <f t="shared" si="5"/>
        <v>0</v>
      </c>
      <c r="H36" s="147">
        <f t="shared" si="5"/>
        <v>0</v>
      </c>
      <c r="I36" s="147">
        <f t="shared" si="6"/>
        <v>0</v>
      </c>
      <c r="J36" s="147">
        <f t="shared" si="6"/>
        <v>0</v>
      </c>
      <c r="K36" s="147">
        <f t="shared" si="6"/>
        <v>0</v>
      </c>
      <c r="L36" s="147">
        <f t="shared" si="6"/>
        <v>0</v>
      </c>
      <c r="M36" s="147">
        <f t="shared" si="6"/>
        <v>0</v>
      </c>
      <c r="N36" s="147">
        <f t="shared" si="6"/>
        <v>0</v>
      </c>
    </row>
    <row r="37" spans="2:14" ht="15">
      <c r="B37" s="142">
        <f t="shared" si="4"/>
        <v>2047</v>
      </c>
      <c r="C37" s="147">
        <f t="shared" si="5"/>
        <v>0</v>
      </c>
      <c r="D37" s="147">
        <f t="shared" si="5"/>
        <v>0</v>
      </c>
      <c r="E37" s="147">
        <f t="shared" si="5"/>
        <v>0</v>
      </c>
      <c r="F37" s="147">
        <f t="shared" si="5"/>
        <v>0</v>
      </c>
      <c r="G37" s="147">
        <f t="shared" si="5"/>
        <v>0</v>
      </c>
      <c r="H37" s="147">
        <f t="shared" si="5"/>
        <v>0</v>
      </c>
      <c r="I37" s="147">
        <f t="shared" si="6"/>
        <v>0</v>
      </c>
      <c r="J37" s="147">
        <f t="shared" si="6"/>
        <v>0</v>
      </c>
      <c r="K37" s="147">
        <f t="shared" si="6"/>
        <v>0</v>
      </c>
      <c r="L37" s="147">
        <f t="shared" si="6"/>
        <v>0</v>
      </c>
      <c r="M37" s="147">
        <f t="shared" si="6"/>
        <v>0</v>
      </c>
      <c r="N37" s="147">
        <f t="shared" si="6"/>
        <v>0</v>
      </c>
    </row>
    <row r="38" spans="2:14" ht="15">
      <c r="B38" s="142">
        <f t="shared" si="4"/>
        <v>2048</v>
      </c>
      <c r="C38" s="147">
        <f t="shared" si="5"/>
        <v>0</v>
      </c>
      <c r="D38" s="147">
        <f t="shared" si="5"/>
        <v>0</v>
      </c>
      <c r="E38" s="147">
        <f t="shared" si="5"/>
        <v>0</v>
      </c>
      <c r="F38" s="147">
        <f t="shared" si="5"/>
        <v>0</v>
      </c>
      <c r="G38" s="147">
        <f t="shared" si="5"/>
        <v>0</v>
      </c>
      <c r="H38" s="147">
        <f t="shared" si="5"/>
        <v>0</v>
      </c>
      <c r="I38" s="147">
        <f t="shared" si="6"/>
        <v>0</v>
      </c>
      <c r="J38" s="147">
        <f t="shared" si="6"/>
        <v>0</v>
      </c>
      <c r="K38" s="147">
        <f t="shared" si="6"/>
        <v>0</v>
      </c>
      <c r="L38" s="147">
        <f t="shared" si="6"/>
        <v>0</v>
      </c>
      <c r="M38" s="147">
        <f t="shared" si="6"/>
        <v>0</v>
      </c>
      <c r="N38" s="147">
        <f t="shared" si="6"/>
        <v>0</v>
      </c>
    </row>
    <row r="39" spans="2:14" ht="15">
      <c r="B39" s="142">
        <f t="shared" si="4"/>
        <v>2049</v>
      </c>
      <c r="C39" s="147">
        <f t="shared" si="5"/>
        <v>0</v>
      </c>
      <c r="D39" s="147">
        <f t="shared" si="5"/>
        <v>0</v>
      </c>
      <c r="E39" s="147">
        <f t="shared" si="5"/>
        <v>0</v>
      </c>
      <c r="F39" s="147">
        <f t="shared" si="5"/>
        <v>0</v>
      </c>
      <c r="G39" s="147">
        <f t="shared" si="5"/>
        <v>0</v>
      </c>
      <c r="H39" s="147">
        <f t="shared" si="5"/>
        <v>0</v>
      </c>
      <c r="I39" s="147">
        <f t="shared" si="6"/>
        <v>0</v>
      </c>
      <c r="J39" s="147">
        <f t="shared" si="6"/>
        <v>0</v>
      </c>
      <c r="K39" s="147">
        <f t="shared" si="6"/>
        <v>0</v>
      </c>
      <c r="L39" s="147">
        <f t="shared" si="6"/>
        <v>0</v>
      </c>
      <c r="M39" s="147">
        <f t="shared" si="6"/>
        <v>0</v>
      </c>
      <c r="N39" s="147">
        <f t="shared" si="6"/>
        <v>0</v>
      </c>
    </row>
    <row r="40" spans="2:14" ht="15">
      <c r="B40" s="142">
        <f t="shared" si="4"/>
        <v>2050</v>
      </c>
      <c r="C40" s="147">
        <f t="shared" si="5"/>
        <v>0</v>
      </c>
      <c r="D40" s="147">
        <f t="shared" si="5"/>
        <v>0</v>
      </c>
      <c r="E40" s="147">
        <f t="shared" si="5"/>
        <v>0</v>
      </c>
      <c r="F40" s="147">
        <f t="shared" si="5"/>
        <v>0</v>
      </c>
      <c r="G40" s="147">
        <f t="shared" si="5"/>
        <v>0</v>
      </c>
      <c r="H40" s="147">
        <f t="shared" si="5"/>
        <v>0</v>
      </c>
      <c r="I40" s="147">
        <f t="shared" si="6"/>
        <v>0</v>
      </c>
      <c r="J40" s="147">
        <f t="shared" si="6"/>
        <v>0</v>
      </c>
      <c r="K40" s="147">
        <f t="shared" si="6"/>
        <v>0</v>
      </c>
      <c r="L40" s="147">
        <f t="shared" si="6"/>
        <v>0</v>
      </c>
      <c r="M40" s="147">
        <f t="shared" si="6"/>
        <v>0</v>
      </c>
      <c r="N40" s="147">
        <f t="shared" si="6"/>
        <v>0</v>
      </c>
    </row>
    <row r="41" spans="2:14" ht="15">
      <c r="B41" s="142">
        <f t="shared" si="4"/>
        <v>2051</v>
      </c>
      <c r="C41" s="147">
        <f t="shared" si="5"/>
        <v>0</v>
      </c>
      <c r="D41" s="147">
        <f t="shared" si="5"/>
        <v>0</v>
      </c>
      <c r="E41" s="147">
        <f t="shared" si="5"/>
        <v>0</v>
      </c>
      <c r="F41" s="147">
        <f t="shared" si="5"/>
        <v>0</v>
      </c>
      <c r="G41" s="147">
        <f t="shared" si="5"/>
        <v>0</v>
      </c>
      <c r="H41" s="147">
        <f t="shared" si="5"/>
        <v>0</v>
      </c>
      <c r="I41" s="147">
        <f t="shared" si="6"/>
        <v>0</v>
      </c>
      <c r="J41" s="147">
        <f t="shared" si="6"/>
        <v>0</v>
      </c>
      <c r="K41" s="147">
        <f t="shared" si="6"/>
        <v>0</v>
      </c>
      <c r="L41" s="147">
        <f t="shared" si="6"/>
        <v>0</v>
      </c>
      <c r="M41" s="147">
        <f t="shared" si="6"/>
        <v>0</v>
      </c>
      <c r="N41" s="147">
        <f t="shared" si="6"/>
        <v>0</v>
      </c>
    </row>
    <row r="42" spans="2:14" ht="15">
      <c r="B42" s="142">
        <f t="shared" si="4"/>
        <v>2052</v>
      </c>
      <c r="C42" s="147">
        <f t="shared" si="5"/>
        <v>0</v>
      </c>
      <c r="D42" s="147">
        <f t="shared" si="5"/>
        <v>0</v>
      </c>
      <c r="E42" s="147">
        <f t="shared" si="5"/>
        <v>0</v>
      </c>
      <c r="F42" s="147">
        <f t="shared" si="5"/>
        <v>0</v>
      </c>
      <c r="G42" s="147">
        <f t="shared" si="5"/>
        <v>0</v>
      </c>
      <c r="H42" s="147">
        <f t="shared" si="5"/>
        <v>0</v>
      </c>
      <c r="I42" s="147">
        <f t="shared" si="6"/>
        <v>0</v>
      </c>
      <c r="J42" s="147">
        <f t="shared" si="6"/>
        <v>0</v>
      </c>
      <c r="K42" s="147">
        <f t="shared" si="6"/>
        <v>0</v>
      </c>
      <c r="L42" s="147">
        <f t="shared" si="6"/>
        <v>0</v>
      </c>
      <c r="M42" s="147">
        <f t="shared" si="6"/>
        <v>0</v>
      </c>
      <c r="N42" s="147">
        <f t="shared" si="6"/>
        <v>0</v>
      </c>
    </row>
    <row r="43" spans="2:14" ht="15">
      <c r="B43" s="142">
        <f t="shared" si="4"/>
        <v>2053</v>
      </c>
      <c r="C43" s="147">
        <f t="shared" si="5"/>
        <v>0</v>
      </c>
      <c r="D43" s="147">
        <f t="shared" si="5"/>
        <v>0</v>
      </c>
      <c r="E43" s="147">
        <f t="shared" si="5"/>
        <v>0</v>
      </c>
      <c r="F43" s="147">
        <f t="shared" si="5"/>
        <v>0</v>
      </c>
      <c r="G43" s="147">
        <f t="shared" si="5"/>
        <v>0</v>
      </c>
      <c r="H43" s="147">
        <f t="shared" si="5"/>
        <v>0</v>
      </c>
      <c r="I43" s="147">
        <f t="shared" si="6"/>
        <v>0</v>
      </c>
      <c r="J43" s="147">
        <f t="shared" si="6"/>
        <v>0</v>
      </c>
      <c r="K43" s="147">
        <f t="shared" si="6"/>
        <v>0</v>
      </c>
      <c r="L43" s="147">
        <f t="shared" si="6"/>
        <v>0</v>
      </c>
      <c r="M43" s="147">
        <f t="shared" si="6"/>
        <v>0</v>
      </c>
      <c r="N43" s="147">
        <f t="shared" si="6"/>
        <v>0</v>
      </c>
    </row>
    <row r="44" spans="2:14" ht="15">
      <c r="B44" s="142">
        <f t="shared" si="4"/>
        <v>2054</v>
      </c>
      <c r="C44" s="147">
        <f t="shared" si="5"/>
        <v>0</v>
      </c>
      <c r="D44" s="147">
        <f t="shared" si="5"/>
        <v>0</v>
      </c>
      <c r="E44" s="147">
        <f t="shared" si="5"/>
        <v>0</v>
      </c>
      <c r="F44" s="147">
        <f t="shared" si="5"/>
        <v>0</v>
      </c>
      <c r="G44" s="147">
        <f t="shared" si="5"/>
        <v>0</v>
      </c>
      <c r="H44" s="147">
        <f t="shared" si="5"/>
        <v>0</v>
      </c>
      <c r="I44" s="147">
        <f t="shared" si="6"/>
        <v>0</v>
      </c>
      <c r="J44" s="147">
        <f t="shared" si="6"/>
        <v>0</v>
      </c>
      <c r="K44" s="147">
        <f t="shared" si="6"/>
        <v>0</v>
      </c>
      <c r="L44" s="147">
        <f t="shared" si="6"/>
        <v>0</v>
      </c>
      <c r="M44" s="147">
        <f t="shared" si="6"/>
        <v>0</v>
      </c>
      <c r="N44" s="147">
        <f t="shared" si="6"/>
        <v>0</v>
      </c>
    </row>
    <row r="45" spans="2:14" ht="15">
      <c r="B45" s="142">
        <f t="shared" si="4"/>
        <v>2055</v>
      </c>
      <c r="C45" s="147">
        <f t="shared" si="5"/>
        <v>0</v>
      </c>
      <c r="D45" s="147">
        <f t="shared" si="5"/>
        <v>0</v>
      </c>
      <c r="E45" s="147">
        <f t="shared" si="5"/>
        <v>0</v>
      </c>
      <c r="F45" s="147">
        <f t="shared" si="5"/>
        <v>0</v>
      </c>
      <c r="G45" s="147">
        <f t="shared" si="5"/>
        <v>0</v>
      </c>
      <c r="H45" s="147">
        <f t="shared" si="5"/>
        <v>0</v>
      </c>
      <c r="I45" s="147">
        <f t="shared" si="6"/>
        <v>0</v>
      </c>
      <c r="J45" s="147">
        <f t="shared" si="6"/>
        <v>0</v>
      </c>
      <c r="K45" s="147">
        <f t="shared" si="6"/>
        <v>0</v>
      </c>
      <c r="L45" s="147">
        <f t="shared" si="6"/>
        <v>0</v>
      </c>
      <c r="M45" s="147">
        <f t="shared" si="6"/>
        <v>0</v>
      </c>
      <c r="N45" s="147">
        <f t="shared" si="6"/>
        <v>0</v>
      </c>
    </row>
    <row r="46" spans="2:14" ht="15">
      <c r="B46" s="142">
        <f t="shared" si="4"/>
        <v>2056</v>
      </c>
      <c r="C46" s="147">
        <f t="shared" ref="C46:H61" si="7">+IF($B46="","",(C$3*(C$5*12))*(1+$K$3)^($B46-$B$14))</f>
        <v>0</v>
      </c>
      <c r="D46" s="147">
        <f t="shared" si="7"/>
        <v>0</v>
      </c>
      <c r="E46" s="147">
        <f t="shared" si="7"/>
        <v>0</v>
      </c>
      <c r="F46" s="147">
        <f t="shared" si="7"/>
        <v>0</v>
      </c>
      <c r="G46" s="147">
        <f t="shared" si="7"/>
        <v>0</v>
      </c>
      <c r="H46" s="147">
        <f t="shared" si="7"/>
        <v>0</v>
      </c>
      <c r="I46" s="147">
        <f t="shared" si="6"/>
        <v>0</v>
      </c>
      <c r="J46" s="147">
        <f t="shared" si="6"/>
        <v>0</v>
      </c>
      <c r="K46" s="147">
        <f t="shared" si="6"/>
        <v>0</v>
      </c>
      <c r="L46" s="147">
        <f t="shared" si="6"/>
        <v>0</v>
      </c>
      <c r="M46" s="147">
        <f t="shared" si="6"/>
        <v>0</v>
      </c>
      <c r="N46" s="147">
        <f t="shared" si="6"/>
        <v>0</v>
      </c>
    </row>
    <row r="47" spans="2:14" ht="15">
      <c r="B47" s="142">
        <f t="shared" si="4"/>
        <v>2057</v>
      </c>
      <c r="C47" s="147">
        <f t="shared" si="7"/>
        <v>0</v>
      </c>
      <c r="D47" s="147">
        <f t="shared" si="7"/>
        <v>0</v>
      </c>
      <c r="E47" s="147">
        <f t="shared" si="7"/>
        <v>0</v>
      </c>
      <c r="F47" s="147">
        <f t="shared" si="7"/>
        <v>0</v>
      </c>
      <c r="G47" s="147">
        <f t="shared" si="7"/>
        <v>0</v>
      </c>
      <c r="H47" s="147">
        <f t="shared" si="7"/>
        <v>0</v>
      </c>
      <c r="I47" s="147">
        <f t="shared" si="6"/>
        <v>0</v>
      </c>
      <c r="J47" s="147">
        <f t="shared" si="6"/>
        <v>0</v>
      </c>
      <c r="K47" s="147">
        <f t="shared" si="6"/>
        <v>0</v>
      </c>
      <c r="L47" s="147">
        <f t="shared" si="6"/>
        <v>0</v>
      </c>
      <c r="M47" s="147">
        <f t="shared" si="6"/>
        <v>0</v>
      </c>
      <c r="N47" s="147">
        <f t="shared" si="6"/>
        <v>0</v>
      </c>
    </row>
    <row r="48" spans="2:14" ht="15">
      <c r="B48" s="142">
        <f t="shared" si="4"/>
        <v>2058</v>
      </c>
      <c r="C48" s="147">
        <f t="shared" si="7"/>
        <v>0</v>
      </c>
      <c r="D48" s="147">
        <f t="shared" si="7"/>
        <v>0</v>
      </c>
      <c r="E48" s="147">
        <f t="shared" si="7"/>
        <v>0</v>
      </c>
      <c r="F48" s="147">
        <f t="shared" si="7"/>
        <v>0</v>
      </c>
      <c r="G48" s="147">
        <f t="shared" si="7"/>
        <v>0</v>
      </c>
      <c r="H48" s="147">
        <f t="shared" si="7"/>
        <v>0</v>
      </c>
      <c r="I48" s="147">
        <f t="shared" si="6"/>
        <v>0</v>
      </c>
      <c r="J48" s="147">
        <f t="shared" si="6"/>
        <v>0</v>
      </c>
      <c r="K48" s="147">
        <f t="shared" si="6"/>
        <v>0</v>
      </c>
      <c r="L48" s="147">
        <f t="shared" si="6"/>
        <v>0</v>
      </c>
      <c r="M48" s="147">
        <f t="shared" si="6"/>
        <v>0</v>
      </c>
      <c r="N48" s="147">
        <f t="shared" si="6"/>
        <v>0</v>
      </c>
    </row>
    <row r="49" spans="2:14" ht="15">
      <c r="B49" s="142">
        <f t="shared" si="4"/>
        <v>2059</v>
      </c>
      <c r="C49" s="147">
        <f t="shared" si="7"/>
        <v>0</v>
      </c>
      <c r="D49" s="147">
        <f t="shared" si="7"/>
        <v>0</v>
      </c>
      <c r="E49" s="147">
        <f t="shared" si="7"/>
        <v>0</v>
      </c>
      <c r="F49" s="147">
        <f t="shared" si="7"/>
        <v>0</v>
      </c>
      <c r="G49" s="147">
        <f t="shared" si="7"/>
        <v>0</v>
      </c>
      <c r="H49" s="147">
        <f t="shared" si="7"/>
        <v>0</v>
      </c>
      <c r="I49" s="147">
        <f t="shared" si="6"/>
        <v>0</v>
      </c>
      <c r="J49" s="147">
        <f t="shared" si="6"/>
        <v>0</v>
      </c>
      <c r="K49" s="147">
        <f t="shared" si="6"/>
        <v>0</v>
      </c>
      <c r="L49" s="147">
        <f t="shared" si="6"/>
        <v>0</v>
      </c>
      <c r="M49" s="147">
        <f t="shared" si="6"/>
        <v>0</v>
      </c>
      <c r="N49" s="147">
        <f t="shared" si="6"/>
        <v>0</v>
      </c>
    </row>
    <row r="50" spans="2:14" ht="15">
      <c r="B50" s="142">
        <f t="shared" si="4"/>
        <v>2060</v>
      </c>
      <c r="C50" s="147">
        <f t="shared" si="7"/>
        <v>0</v>
      </c>
      <c r="D50" s="147">
        <f t="shared" si="7"/>
        <v>0</v>
      </c>
      <c r="E50" s="147">
        <f t="shared" si="7"/>
        <v>0</v>
      </c>
      <c r="F50" s="147">
        <f t="shared" si="7"/>
        <v>0</v>
      </c>
      <c r="G50" s="147">
        <f t="shared" si="7"/>
        <v>0</v>
      </c>
      <c r="H50" s="147">
        <f t="shared" si="7"/>
        <v>0</v>
      </c>
      <c r="I50" s="147">
        <f t="shared" si="6"/>
        <v>0</v>
      </c>
      <c r="J50" s="147">
        <f t="shared" si="6"/>
        <v>0</v>
      </c>
      <c r="K50" s="147">
        <f t="shared" si="6"/>
        <v>0</v>
      </c>
      <c r="L50" s="147">
        <f t="shared" si="6"/>
        <v>0</v>
      </c>
      <c r="M50" s="147">
        <f t="shared" si="6"/>
        <v>0</v>
      </c>
      <c r="N50" s="147">
        <f t="shared" si="6"/>
        <v>0</v>
      </c>
    </row>
    <row r="51" spans="2:14" ht="15">
      <c r="B51" s="142">
        <f t="shared" si="4"/>
        <v>2061</v>
      </c>
      <c r="C51" s="147">
        <f t="shared" si="7"/>
        <v>0</v>
      </c>
      <c r="D51" s="147">
        <f t="shared" si="7"/>
        <v>0</v>
      </c>
      <c r="E51" s="147">
        <f t="shared" si="7"/>
        <v>0</v>
      </c>
      <c r="F51" s="147">
        <f t="shared" si="7"/>
        <v>0</v>
      </c>
      <c r="G51" s="147">
        <f t="shared" si="7"/>
        <v>0</v>
      </c>
      <c r="H51" s="147">
        <f t="shared" si="7"/>
        <v>0</v>
      </c>
      <c r="I51" s="147">
        <f t="shared" si="6"/>
        <v>0</v>
      </c>
      <c r="J51" s="147">
        <f t="shared" si="6"/>
        <v>0</v>
      </c>
      <c r="K51" s="147">
        <f t="shared" si="6"/>
        <v>0</v>
      </c>
      <c r="L51" s="147">
        <f t="shared" si="6"/>
        <v>0</v>
      </c>
      <c r="M51" s="147">
        <f t="shared" si="6"/>
        <v>0</v>
      </c>
      <c r="N51" s="147">
        <f t="shared" si="6"/>
        <v>0</v>
      </c>
    </row>
    <row r="52" spans="2:14" ht="15">
      <c r="B52" s="142">
        <f t="shared" si="4"/>
        <v>2062</v>
      </c>
      <c r="C52" s="147">
        <f t="shared" si="7"/>
        <v>0</v>
      </c>
      <c r="D52" s="147">
        <f t="shared" si="7"/>
        <v>0</v>
      </c>
      <c r="E52" s="147">
        <f t="shared" si="7"/>
        <v>0</v>
      </c>
      <c r="F52" s="147">
        <f t="shared" si="7"/>
        <v>0</v>
      </c>
      <c r="G52" s="147">
        <f t="shared" si="7"/>
        <v>0</v>
      </c>
      <c r="H52" s="147">
        <f t="shared" si="7"/>
        <v>0</v>
      </c>
      <c r="I52" s="147">
        <f t="shared" si="6"/>
        <v>0</v>
      </c>
      <c r="J52" s="147">
        <f t="shared" si="6"/>
        <v>0</v>
      </c>
      <c r="K52" s="147">
        <f t="shared" si="6"/>
        <v>0</v>
      </c>
      <c r="L52" s="147">
        <f t="shared" si="6"/>
        <v>0</v>
      </c>
      <c r="M52" s="147">
        <f t="shared" si="6"/>
        <v>0</v>
      </c>
      <c r="N52" s="147">
        <f t="shared" si="6"/>
        <v>0</v>
      </c>
    </row>
    <row r="53" spans="2:14" ht="15">
      <c r="B53" s="142">
        <f t="shared" si="4"/>
        <v>2063</v>
      </c>
      <c r="C53" s="147">
        <f t="shared" si="7"/>
        <v>0</v>
      </c>
      <c r="D53" s="147">
        <f t="shared" si="7"/>
        <v>0</v>
      </c>
      <c r="E53" s="147">
        <f t="shared" si="7"/>
        <v>0</v>
      </c>
      <c r="F53" s="147">
        <f t="shared" si="7"/>
        <v>0</v>
      </c>
      <c r="G53" s="147">
        <f t="shared" si="7"/>
        <v>0</v>
      </c>
      <c r="H53" s="147">
        <f t="shared" si="7"/>
        <v>0</v>
      </c>
      <c r="I53" s="147">
        <f t="shared" si="6"/>
        <v>0</v>
      </c>
      <c r="J53" s="147">
        <f t="shared" si="6"/>
        <v>0</v>
      </c>
      <c r="K53" s="147">
        <f t="shared" si="6"/>
        <v>0</v>
      </c>
      <c r="L53" s="147">
        <f t="shared" si="6"/>
        <v>0</v>
      </c>
      <c r="M53" s="147">
        <f t="shared" si="6"/>
        <v>0</v>
      </c>
      <c r="N53" s="147">
        <f t="shared" si="6"/>
        <v>0</v>
      </c>
    </row>
    <row r="54" spans="2:14" ht="15">
      <c r="B54" s="142">
        <f t="shared" si="4"/>
        <v>2064</v>
      </c>
      <c r="C54" s="147">
        <f t="shared" si="7"/>
        <v>0</v>
      </c>
      <c r="D54" s="147">
        <f t="shared" si="7"/>
        <v>0</v>
      </c>
      <c r="E54" s="147">
        <f t="shared" si="7"/>
        <v>0</v>
      </c>
      <c r="F54" s="147">
        <f t="shared" si="7"/>
        <v>0</v>
      </c>
      <c r="G54" s="147">
        <f t="shared" si="7"/>
        <v>0</v>
      </c>
      <c r="H54" s="147">
        <f t="shared" si="7"/>
        <v>0</v>
      </c>
      <c r="I54" s="147">
        <f t="shared" si="6"/>
        <v>0</v>
      </c>
      <c r="J54" s="147">
        <f t="shared" si="6"/>
        <v>0</v>
      </c>
      <c r="K54" s="147">
        <f t="shared" si="6"/>
        <v>0</v>
      </c>
      <c r="L54" s="147">
        <f t="shared" si="6"/>
        <v>0</v>
      </c>
      <c r="M54" s="147">
        <f t="shared" si="6"/>
        <v>0</v>
      </c>
      <c r="N54" s="147">
        <f t="shared" si="6"/>
        <v>0</v>
      </c>
    </row>
    <row r="55" spans="2:14" ht="15">
      <c r="B55" s="142">
        <f t="shared" si="4"/>
        <v>2065</v>
      </c>
      <c r="C55" s="147">
        <f t="shared" si="7"/>
        <v>0</v>
      </c>
      <c r="D55" s="147">
        <f t="shared" si="7"/>
        <v>0</v>
      </c>
      <c r="E55" s="147">
        <f t="shared" si="7"/>
        <v>0</v>
      </c>
      <c r="F55" s="147">
        <f t="shared" si="7"/>
        <v>0</v>
      </c>
      <c r="G55" s="147">
        <f t="shared" si="7"/>
        <v>0</v>
      </c>
      <c r="H55" s="147">
        <f t="shared" si="7"/>
        <v>0</v>
      </c>
      <c r="I55" s="147">
        <f t="shared" si="6"/>
        <v>0</v>
      </c>
      <c r="J55" s="147">
        <f t="shared" si="6"/>
        <v>0</v>
      </c>
      <c r="K55" s="147">
        <f t="shared" si="6"/>
        <v>0</v>
      </c>
      <c r="L55" s="147">
        <f t="shared" si="6"/>
        <v>0</v>
      </c>
      <c r="M55" s="147">
        <f t="shared" si="6"/>
        <v>0</v>
      </c>
      <c r="N55" s="147">
        <f t="shared" si="6"/>
        <v>0</v>
      </c>
    </row>
    <row r="56" spans="2:14" ht="15">
      <c r="B56" s="142">
        <f t="shared" si="4"/>
        <v>2066</v>
      </c>
      <c r="C56" s="147">
        <f t="shared" si="7"/>
        <v>0</v>
      </c>
      <c r="D56" s="147">
        <f t="shared" si="7"/>
        <v>0</v>
      </c>
      <c r="E56" s="147">
        <f t="shared" si="7"/>
        <v>0</v>
      </c>
      <c r="F56" s="147">
        <f t="shared" si="7"/>
        <v>0</v>
      </c>
      <c r="G56" s="147">
        <f t="shared" si="7"/>
        <v>0</v>
      </c>
      <c r="H56" s="147">
        <f t="shared" si="7"/>
        <v>0</v>
      </c>
      <c r="I56" s="147">
        <f t="shared" si="6"/>
        <v>0</v>
      </c>
      <c r="J56" s="147">
        <f t="shared" si="6"/>
        <v>0</v>
      </c>
      <c r="K56" s="147">
        <f t="shared" si="6"/>
        <v>0</v>
      </c>
      <c r="L56" s="147">
        <f t="shared" si="6"/>
        <v>0</v>
      </c>
      <c r="M56" s="147">
        <f t="shared" si="6"/>
        <v>0</v>
      </c>
      <c r="N56" s="147">
        <f t="shared" si="6"/>
        <v>0</v>
      </c>
    </row>
    <row r="57" spans="2:14" ht="15">
      <c r="B57" s="142">
        <f t="shared" si="4"/>
        <v>2067</v>
      </c>
      <c r="C57" s="147">
        <f t="shared" si="7"/>
        <v>0</v>
      </c>
      <c r="D57" s="147">
        <f t="shared" si="7"/>
        <v>0</v>
      </c>
      <c r="E57" s="147">
        <f t="shared" si="7"/>
        <v>0</v>
      </c>
      <c r="F57" s="147">
        <f t="shared" si="7"/>
        <v>0</v>
      </c>
      <c r="G57" s="147">
        <f t="shared" si="7"/>
        <v>0</v>
      </c>
      <c r="H57" s="147">
        <f t="shared" si="7"/>
        <v>0</v>
      </c>
      <c r="I57" s="147">
        <f t="shared" si="6"/>
        <v>0</v>
      </c>
      <c r="J57" s="147">
        <f t="shared" si="6"/>
        <v>0</v>
      </c>
      <c r="K57" s="147">
        <f t="shared" si="6"/>
        <v>0</v>
      </c>
      <c r="L57" s="147">
        <f t="shared" si="6"/>
        <v>0</v>
      </c>
      <c r="M57" s="147">
        <f t="shared" si="6"/>
        <v>0</v>
      </c>
      <c r="N57" s="147">
        <f t="shared" si="6"/>
        <v>0</v>
      </c>
    </row>
    <row r="58" spans="2:14" ht="15">
      <c r="B58" s="142">
        <f t="shared" si="4"/>
        <v>2068</v>
      </c>
      <c r="C58" s="147">
        <f t="shared" si="7"/>
        <v>0</v>
      </c>
      <c r="D58" s="147">
        <f t="shared" si="7"/>
        <v>0</v>
      </c>
      <c r="E58" s="147">
        <f t="shared" si="7"/>
        <v>0</v>
      </c>
      <c r="F58" s="147">
        <f t="shared" si="7"/>
        <v>0</v>
      </c>
      <c r="G58" s="147">
        <f t="shared" si="7"/>
        <v>0</v>
      </c>
      <c r="H58" s="147">
        <f t="shared" si="7"/>
        <v>0</v>
      </c>
      <c r="I58" s="147">
        <f t="shared" si="6"/>
        <v>0</v>
      </c>
      <c r="J58" s="147">
        <f t="shared" si="6"/>
        <v>0</v>
      </c>
      <c r="K58" s="147">
        <f t="shared" si="6"/>
        <v>0</v>
      </c>
      <c r="L58" s="147">
        <f t="shared" si="6"/>
        <v>0</v>
      </c>
      <c r="M58" s="147">
        <f t="shared" si="6"/>
        <v>0</v>
      </c>
      <c r="N58" s="147">
        <f t="shared" si="6"/>
        <v>0</v>
      </c>
    </row>
    <row r="59" spans="2:14" ht="15">
      <c r="B59" s="142">
        <f t="shared" si="4"/>
        <v>2069</v>
      </c>
      <c r="C59" s="147">
        <f t="shared" si="7"/>
        <v>0</v>
      </c>
      <c r="D59" s="147">
        <f t="shared" si="7"/>
        <v>0</v>
      </c>
      <c r="E59" s="147">
        <f t="shared" si="7"/>
        <v>0</v>
      </c>
      <c r="F59" s="147">
        <f t="shared" si="7"/>
        <v>0</v>
      </c>
      <c r="G59" s="147">
        <f t="shared" si="7"/>
        <v>0</v>
      </c>
      <c r="H59" s="147">
        <f t="shared" si="7"/>
        <v>0</v>
      </c>
      <c r="I59" s="147">
        <f t="shared" si="6"/>
        <v>0</v>
      </c>
      <c r="J59" s="147">
        <f t="shared" si="6"/>
        <v>0</v>
      </c>
      <c r="K59" s="147">
        <f t="shared" si="6"/>
        <v>0</v>
      </c>
      <c r="L59" s="147">
        <f t="shared" si="6"/>
        <v>0</v>
      </c>
      <c r="M59" s="147">
        <f t="shared" si="6"/>
        <v>0</v>
      </c>
      <c r="N59" s="147">
        <f t="shared" si="6"/>
        <v>0</v>
      </c>
    </row>
    <row r="60" spans="2:14" ht="15">
      <c r="B60" s="142">
        <f t="shared" si="4"/>
        <v>2070</v>
      </c>
      <c r="C60" s="147">
        <f t="shared" si="7"/>
        <v>0</v>
      </c>
      <c r="D60" s="147">
        <f t="shared" si="7"/>
        <v>0</v>
      </c>
      <c r="E60" s="147">
        <f t="shared" si="7"/>
        <v>0</v>
      </c>
      <c r="F60" s="147">
        <f t="shared" si="7"/>
        <v>0</v>
      </c>
      <c r="G60" s="147">
        <f t="shared" si="7"/>
        <v>0</v>
      </c>
      <c r="H60" s="147">
        <f t="shared" si="7"/>
        <v>0</v>
      </c>
      <c r="I60" s="147">
        <f t="shared" si="6"/>
        <v>0</v>
      </c>
      <c r="J60" s="147">
        <f t="shared" si="6"/>
        <v>0</v>
      </c>
      <c r="K60" s="147">
        <f t="shared" si="6"/>
        <v>0</v>
      </c>
      <c r="L60" s="147">
        <f t="shared" si="6"/>
        <v>0</v>
      </c>
      <c r="M60" s="147">
        <f t="shared" si="6"/>
        <v>0</v>
      </c>
      <c r="N60" s="147">
        <f t="shared" si="6"/>
        <v>0</v>
      </c>
    </row>
    <row r="61" spans="2:14" ht="15">
      <c r="B61" s="142">
        <f t="shared" si="4"/>
        <v>2071</v>
      </c>
      <c r="C61" s="147">
        <f t="shared" si="7"/>
        <v>0</v>
      </c>
      <c r="D61" s="147">
        <f t="shared" si="7"/>
        <v>0</v>
      </c>
      <c r="E61" s="147">
        <f t="shared" si="7"/>
        <v>0</v>
      </c>
      <c r="F61" s="147">
        <f t="shared" si="7"/>
        <v>0</v>
      </c>
      <c r="G61" s="147">
        <f t="shared" si="7"/>
        <v>0</v>
      </c>
      <c r="H61" s="147">
        <f t="shared" si="7"/>
        <v>0</v>
      </c>
      <c r="I61" s="147">
        <f t="shared" si="6"/>
        <v>0</v>
      </c>
      <c r="J61" s="147">
        <f t="shared" si="6"/>
        <v>0</v>
      </c>
      <c r="K61" s="147">
        <f t="shared" si="6"/>
        <v>0</v>
      </c>
      <c r="L61" s="147">
        <f t="shared" si="6"/>
        <v>0</v>
      </c>
      <c r="M61" s="147">
        <f t="shared" si="6"/>
        <v>0</v>
      </c>
      <c r="N61" s="147">
        <f t="shared" si="6"/>
        <v>0</v>
      </c>
    </row>
    <row r="62" spans="2:14" ht="15">
      <c r="B62" s="142">
        <f t="shared" si="4"/>
        <v>2072</v>
      </c>
      <c r="C62" s="147">
        <f t="shared" ref="C62:H73" si="8">+IF($B62="","",(C$3*(C$5*12))*(1+$K$3)^($B62-$B$14))</f>
        <v>0</v>
      </c>
      <c r="D62" s="147">
        <f t="shared" si="8"/>
        <v>0</v>
      </c>
      <c r="E62" s="147">
        <f t="shared" si="8"/>
        <v>0</v>
      </c>
      <c r="F62" s="147">
        <f t="shared" si="8"/>
        <v>0</v>
      </c>
      <c r="G62" s="147">
        <f t="shared" si="8"/>
        <v>0</v>
      </c>
      <c r="H62" s="147">
        <f t="shared" si="8"/>
        <v>0</v>
      </c>
      <c r="I62" s="147">
        <f t="shared" si="6"/>
        <v>0</v>
      </c>
      <c r="J62" s="147">
        <f t="shared" si="6"/>
        <v>0</v>
      </c>
      <c r="K62" s="147">
        <f t="shared" si="6"/>
        <v>0</v>
      </c>
      <c r="L62" s="147">
        <f t="shared" si="6"/>
        <v>0</v>
      </c>
      <c r="M62" s="147">
        <f t="shared" si="6"/>
        <v>0</v>
      </c>
      <c r="N62" s="147">
        <f t="shared" si="6"/>
        <v>0</v>
      </c>
    </row>
    <row r="63" spans="2:14" ht="15">
      <c r="B63" s="142">
        <f t="shared" si="4"/>
        <v>2073</v>
      </c>
      <c r="C63" s="147">
        <f t="shared" si="8"/>
        <v>0</v>
      </c>
      <c r="D63" s="147">
        <f t="shared" si="8"/>
        <v>0</v>
      </c>
      <c r="E63" s="147">
        <f t="shared" si="8"/>
        <v>0</v>
      </c>
      <c r="F63" s="147">
        <f t="shared" si="8"/>
        <v>0</v>
      </c>
      <c r="G63" s="147">
        <f t="shared" si="8"/>
        <v>0</v>
      </c>
      <c r="H63" s="147">
        <f t="shared" si="8"/>
        <v>0</v>
      </c>
      <c r="I63" s="147">
        <f t="shared" si="6"/>
        <v>0</v>
      </c>
      <c r="J63" s="147">
        <f t="shared" si="6"/>
        <v>0</v>
      </c>
      <c r="K63" s="147">
        <f t="shared" si="6"/>
        <v>0</v>
      </c>
      <c r="L63" s="147">
        <f t="shared" si="6"/>
        <v>0</v>
      </c>
      <c r="M63" s="147">
        <f t="shared" si="6"/>
        <v>0</v>
      </c>
      <c r="N63" s="147">
        <f t="shared" si="6"/>
        <v>0</v>
      </c>
    </row>
    <row r="64" spans="2:14" ht="15">
      <c r="B64" s="142" t="str">
        <f t="shared" si="4"/>
        <v/>
      </c>
      <c r="C64" s="147" t="str">
        <f t="shared" si="8"/>
        <v/>
      </c>
      <c r="D64" s="147" t="str">
        <f t="shared" si="8"/>
        <v/>
      </c>
      <c r="E64" s="147" t="str">
        <f t="shared" si="8"/>
        <v/>
      </c>
      <c r="F64" s="147" t="str">
        <f t="shared" si="8"/>
        <v/>
      </c>
      <c r="G64" s="147" t="str">
        <f t="shared" si="8"/>
        <v/>
      </c>
      <c r="H64" s="147" t="str">
        <f t="shared" si="8"/>
        <v/>
      </c>
      <c r="I64" s="147" t="str">
        <f t="shared" si="6"/>
        <v/>
      </c>
      <c r="J64" s="147" t="str">
        <f t="shared" si="6"/>
        <v/>
      </c>
      <c r="K64" s="147" t="str">
        <f t="shared" si="6"/>
        <v/>
      </c>
      <c r="L64" s="147" t="str">
        <f t="shared" si="6"/>
        <v/>
      </c>
      <c r="M64" s="147" t="str">
        <f t="shared" si="6"/>
        <v/>
      </c>
      <c r="N64" s="147" t="str">
        <f t="shared" si="6"/>
        <v/>
      </c>
    </row>
    <row r="65" spans="2:20" ht="15">
      <c r="B65" s="142" t="str">
        <f t="shared" si="4"/>
        <v/>
      </c>
      <c r="C65" s="147" t="str">
        <f t="shared" si="8"/>
        <v/>
      </c>
      <c r="D65" s="147" t="str">
        <f t="shared" si="8"/>
        <v/>
      </c>
      <c r="E65" s="147" t="str">
        <f t="shared" si="8"/>
        <v/>
      </c>
      <c r="F65" s="147" t="str">
        <f t="shared" si="8"/>
        <v/>
      </c>
      <c r="G65" s="147" t="str">
        <f t="shared" si="8"/>
        <v/>
      </c>
      <c r="H65" s="147" t="str">
        <f t="shared" si="8"/>
        <v/>
      </c>
      <c r="I65" s="147" t="str">
        <f t="shared" si="6"/>
        <v/>
      </c>
      <c r="J65" s="147" t="str">
        <f t="shared" si="6"/>
        <v/>
      </c>
      <c r="K65" s="147" t="str">
        <f t="shared" si="6"/>
        <v/>
      </c>
      <c r="L65" s="147" t="str">
        <f t="shared" si="6"/>
        <v/>
      </c>
      <c r="M65" s="147" t="str">
        <f t="shared" si="6"/>
        <v/>
      </c>
      <c r="N65" s="147" t="str">
        <f t="shared" si="6"/>
        <v/>
      </c>
    </row>
    <row r="66" spans="2:20" ht="15">
      <c r="B66" s="142" t="str">
        <f t="shared" si="4"/>
        <v/>
      </c>
      <c r="C66" s="147" t="str">
        <f t="shared" si="8"/>
        <v/>
      </c>
      <c r="D66" s="147" t="str">
        <f t="shared" si="8"/>
        <v/>
      </c>
      <c r="E66" s="147" t="str">
        <f t="shared" si="8"/>
        <v/>
      </c>
      <c r="F66" s="147" t="str">
        <f t="shared" si="8"/>
        <v/>
      </c>
      <c r="G66" s="147" t="str">
        <f t="shared" si="8"/>
        <v/>
      </c>
      <c r="H66" s="147" t="str">
        <f t="shared" si="8"/>
        <v/>
      </c>
      <c r="I66" s="147" t="str">
        <f t="shared" si="6"/>
        <v/>
      </c>
      <c r="J66" s="147" t="str">
        <f t="shared" si="6"/>
        <v/>
      </c>
      <c r="K66" s="147" t="str">
        <f t="shared" si="6"/>
        <v/>
      </c>
      <c r="L66" s="147" t="str">
        <f t="shared" si="6"/>
        <v/>
      </c>
      <c r="M66" s="147" t="str">
        <f t="shared" si="6"/>
        <v/>
      </c>
      <c r="N66" s="147" t="str">
        <f t="shared" si="6"/>
        <v/>
      </c>
    </row>
    <row r="67" spans="2:20" ht="15">
      <c r="B67" s="142" t="str">
        <f t="shared" si="4"/>
        <v/>
      </c>
      <c r="C67" s="147" t="str">
        <f t="shared" si="8"/>
        <v/>
      </c>
      <c r="D67" s="147" t="str">
        <f t="shared" si="8"/>
        <v/>
      </c>
      <c r="E67" s="147" t="str">
        <f t="shared" si="8"/>
        <v/>
      </c>
      <c r="F67" s="147" t="str">
        <f t="shared" si="8"/>
        <v/>
      </c>
      <c r="G67" s="147" t="str">
        <f t="shared" si="8"/>
        <v/>
      </c>
      <c r="H67" s="147" t="str">
        <f t="shared" si="8"/>
        <v/>
      </c>
      <c r="I67" s="147" t="str">
        <f t="shared" si="6"/>
        <v/>
      </c>
      <c r="J67" s="147" t="str">
        <f t="shared" si="6"/>
        <v/>
      </c>
      <c r="K67" s="147" t="str">
        <f t="shared" si="6"/>
        <v/>
      </c>
      <c r="L67" s="147" t="str">
        <f t="shared" si="6"/>
        <v/>
      </c>
      <c r="M67" s="147" t="str">
        <f t="shared" si="6"/>
        <v/>
      </c>
      <c r="N67" s="147" t="str">
        <f t="shared" si="6"/>
        <v/>
      </c>
    </row>
    <row r="68" spans="2:20" ht="15">
      <c r="B68" s="142" t="str">
        <f t="shared" si="4"/>
        <v/>
      </c>
      <c r="C68" s="147" t="str">
        <f t="shared" si="8"/>
        <v/>
      </c>
      <c r="D68" s="147" t="str">
        <f t="shared" si="8"/>
        <v/>
      </c>
      <c r="E68" s="147" t="str">
        <f t="shared" si="8"/>
        <v/>
      </c>
      <c r="F68" s="147" t="str">
        <f t="shared" si="8"/>
        <v/>
      </c>
      <c r="G68" s="147" t="str">
        <f t="shared" si="8"/>
        <v/>
      </c>
      <c r="H68" s="147" t="str">
        <f t="shared" si="8"/>
        <v/>
      </c>
      <c r="I68" s="147" t="str">
        <f t="shared" si="6"/>
        <v/>
      </c>
      <c r="J68" s="147" t="str">
        <f t="shared" si="6"/>
        <v/>
      </c>
      <c r="K68" s="147" t="str">
        <f t="shared" si="6"/>
        <v/>
      </c>
      <c r="L68" s="147" t="str">
        <f t="shared" si="6"/>
        <v/>
      </c>
      <c r="M68" s="147" t="str">
        <f t="shared" si="6"/>
        <v/>
      </c>
      <c r="N68" s="147" t="str">
        <f t="shared" si="6"/>
        <v/>
      </c>
    </row>
    <row r="69" spans="2:20" ht="15">
      <c r="B69" s="142" t="str">
        <f t="shared" si="4"/>
        <v/>
      </c>
      <c r="C69" s="147" t="str">
        <f t="shared" si="8"/>
        <v/>
      </c>
      <c r="D69" s="147" t="str">
        <f t="shared" si="8"/>
        <v/>
      </c>
      <c r="E69" s="147" t="str">
        <f t="shared" si="8"/>
        <v/>
      </c>
      <c r="F69" s="147" t="str">
        <f t="shared" si="8"/>
        <v/>
      </c>
      <c r="G69" s="147" t="str">
        <f t="shared" si="8"/>
        <v/>
      </c>
      <c r="H69" s="147" t="str">
        <f t="shared" si="8"/>
        <v/>
      </c>
      <c r="I69" s="147" t="str">
        <f t="shared" si="6"/>
        <v/>
      </c>
      <c r="J69" s="147" t="str">
        <f t="shared" si="6"/>
        <v/>
      </c>
      <c r="K69" s="147" t="str">
        <f t="shared" si="6"/>
        <v/>
      </c>
      <c r="L69" s="147" t="str">
        <f t="shared" si="6"/>
        <v/>
      </c>
      <c r="M69" s="147" t="str">
        <f t="shared" si="6"/>
        <v/>
      </c>
      <c r="N69" s="147" t="str">
        <f t="shared" si="6"/>
        <v/>
      </c>
    </row>
    <row r="70" spans="2:20" ht="15">
      <c r="B70" s="142" t="str">
        <f t="shared" si="4"/>
        <v/>
      </c>
      <c r="C70" s="147" t="str">
        <f t="shared" si="8"/>
        <v/>
      </c>
      <c r="D70" s="147" t="str">
        <f t="shared" si="8"/>
        <v/>
      </c>
      <c r="E70" s="147" t="str">
        <f t="shared" si="8"/>
        <v/>
      </c>
      <c r="F70" s="147" t="str">
        <f t="shared" si="8"/>
        <v/>
      </c>
      <c r="G70" s="147" t="str">
        <f t="shared" si="8"/>
        <v/>
      </c>
      <c r="H70" s="147" t="str">
        <f t="shared" si="8"/>
        <v/>
      </c>
      <c r="I70" s="147" t="str">
        <f t="shared" si="6"/>
        <v/>
      </c>
      <c r="J70" s="147" t="str">
        <f t="shared" si="6"/>
        <v/>
      </c>
      <c r="K70" s="147" t="str">
        <f t="shared" si="6"/>
        <v/>
      </c>
      <c r="L70" s="147" t="str">
        <f t="shared" si="6"/>
        <v/>
      </c>
      <c r="M70" s="147" t="str">
        <f t="shared" si="6"/>
        <v/>
      </c>
      <c r="N70" s="147" t="str">
        <f t="shared" si="6"/>
        <v/>
      </c>
    </row>
    <row r="71" spans="2:20" ht="15">
      <c r="B71" s="142" t="str">
        <f t="shared" si="4"/>
        <v/>
      </c>
      <c r="C71" s="147" t="str">
        <f t="shared" si="8"/>
        <v/>
      </c>
      <c r="D71" s="147" t="str">
        <f t="shared" si="8"/>
        <v/>
      </c>
      <c r="E71" s="147" t="str">
        <f t="shared" si="8"/>
        <v/>
      </c>
      <c r="F71" s="147" t="str">
        <f t="shared" si="8"/>
        <v/>
      </c>
      <c r="G71" s="147" t="str">
        <f t="shared" si="8"/>
        <v/>
      </c>
      <c r="H71" s="147" t="str">
        <f t="shared" si="8"/>
        <v/>
      </c>
      <c r="I71" s="147" t="str">
        <f t="shared" si="6"/>
        <v/>
      </c>
      <c r="J71" s="147" t="str">
        <f t="shared" si="6"/>
        <v/>
      </c>
      <c r="K71" s="147" t="str">
        <f t="shared" si="6"/>
        <v/>
      </c>
      <c r="L71" s="147" t="str">
        <f t="shared" si="6"/>
        <v/>
      </c>
      <c r="M71" s="147" t="str">
        <f t="shared" si="6"/>
        <v/>
      </c>
      <c r="N71" s="147" t="str">
        <f t="shared" si="6"/>
        <v/>
      </c>
    </row>
    <row r="72" spans="2:20" ht="15">
      <c r="B72" s="142" t="str">
        <f t="shared" si="4"/>
        <v/>
      </c>
      <c r="C72" s="147" t="str">
        <f t="shared" si="8"/>
        <v/>
      </c>
      <c r="D72" s="147" t="str">
        <f t="shared" si="8"/>
        <v/>
      </c>
      <c r="E72" s="147" t="str">
        <f t="shared" si="8"/>
        <v/>
      </c>
      <c r="F72" s="147" t="str">
        <f t="shared" si="8"/>
        <v/>
      </c>
      <c r="G72" s="147" t="str">
        <f t="shared" si="8"/>
        <v/>
      </c>
      <c r="H72" s="147" t="str">
        <f t="shared" si="8"/>
        <v/>
      </c>
      <c r="I72" s="147" t="str">
        <f t="shared" si="6"/>
        <v/>
      </c>
      <c r="J72" s="147" t="str">
        <f t="shared" si="6"/>
        <v/>
      </c>
      <c r="K72" s="147" t="str">
        <f t="shared" si="6"/>
        <v/>
      </c>
      <c r="L72" s="147" t="str">
        <f t="shared" ref="L72:N73" si="9">+IF($B72="","",F72*$K$7)</f>
        <v/>
      </c>
      <c r="M72" s="147" t="str">
        <f t="shared" si="9"/>
        <v/>
      </c>
      <c r="N72" s="147" t="str">
        <f t="shared" si="9"/>
        <v/>
      </c>
    </row>
    <row r="73" spans="2:20" ht="15">
      <c r="B73" s="142" t="str">
        <f t="shared" si="4"/>
        <v/>
      </c>
      <c r="C73" s="147" t="str">
        <f t="shared" si="8"/>
        <v/>
      </c>
      <c r="D73" s="147" t="str">
        <f t="shared" si="8"/>
        <v/>
      </c>
      <c r="E73" s="147" t="str">
        <f t="shared" si="8"/>
        <v/>
      </c>
      <c r="F73" s="147" t="str">
        <f t="shared" si="8"/>
        <v/>
      </c>
      <c r="G73" s="147" t="str">
        <f t="shared" si="8"/>
        <v/>
      </c>
      <c r="H73" s="147" t="str">
        <f t="shared" si="8"/>
        <v/>
      </c>
      <c r="I73" s="147" t="str">
        <f t="shared" ref="I73:K73" si="10">+IF($B73="","",C73*$K$7)</f>
        <v/>
      </c>
      <c r="J73" s="147" t="str">
        <f t="shared" si="10"/>
        <v/>
      </c>
      <c r="K73" s="147" t="str">
        <f t="shared" si="10"/>
        <v/>
      </c>
      <c r="L73" s="147" t="str">
        <f t="shared" si="9"/>
        <v/>
      </c>
      <c r="M73" s="147" t="str">
        <f t="shared" si="9"/>
        <v/>
      </c>
      <c r="N73" s="147" t="str">
        <f t="shared" si="9"/>
        <v/>
      </c>
    </row>
    <row r="77" spans="2:20" ht="12.75" thickBot="1"/>
    <row r="78" spans="2:20" ht="15.75" thickBot="1">
      <c r="C78" s="474" t="s">
        <v>461</v>
      </c>
      <c r="D78" s="475"/>
      <c r="E78" s="475"/>
      <c r="F78" s="475"/>
      <c r="G78" s="475"/>
      <c r="H78" s="476"/>
      <c r="I78" s="474" t="s">
        <v>463</v>
      </c>
      <c r="J78" s="475"/>
      <c r="K78" s="475"/>
      <c r="L78" s="475"/>
      <c r="M78" s="475"/>
      <c r="N78" s="476"/>
      <c r="O78" s="474" t="s">
        <v>465</v>
      </c>
      <c r="P78" s="475"/>
      <c r="Q78" s="475"/>
      <c r="R78" s="475"/>
      <c r="S78" s="475"/>
      <c r="T78" s="476"/>
    </row>
    <row r="79" spans="2:20" ht="15.75" thickBot="1">
      <c r="B79" s="141" t="s">
        <v>456</v>
      </c>
      <c r="C79" s="134" t="str">
        <f t="shared" ref="C79:H79" si="11">C2</f>
        <v>Rijwoning</v>
      </c>
      <c r="D79" s="134" t="str">
        <f t="shared" si="11"/>
        <v>Twee onder een kap</v>
      </c>
      <c r="E79" s="134" t="str">
        <f t="shared" si="11"/>
        <v>Vrijstaande 
woning</v>
      </c>
      <c r="F79" s="134" t="str">
        <f t="shared" si="11"/>
        <v>Gestapeld 
t/m 4 lagen</v>
      </c>
      <c r="G79" s="134" t="str">
        <f t="shared" si="11"/>
        <v>Gestapeld 
5 t/m 12 lagen</v>
      </c>
      <c r="H79" s="134" t="str">
        <f t="shared" si="11"/>
        <v>Gestapeld 13 of meer lagen</v>
      </c>
      <c r="I79" s="134" t="str">
        <f t="shared" ref="I79:T79" si="12">C79</f>
        <v>Rijwoning</v>
      </c>
      <c r="J79" s="134" t="str">
        <f t="shared" si="12"/>
        <v>Twee onder een kap</v>
      </c>
      <c r="K79" s="134" t="str">
        <f t="shared" si="12"/>
        <v>Vrijstaande 
woning</v>
      </c>
      <c r="L79" s="134" t="str">
        <f t="shared" si="12"/>
        <v>Gestapeld 
t/m 4 lagen</v>
      </c>
      <c r="M79" s="134" t="str">
        <f t="shared" si="12"/>
        <v>Gestapeld 
5 t/m 12 lagen</v>
      </c>
      <c r="N79" s="134" t="str">
        <f t="shared" si="12"/>
        <v>Gestapeld 13 of meer lagen</v>
      </c>
      <c r="O79" s="134" t="str">
        <f t="shared" si="12"/>
        <v>Rijwoning</v>
      </c>
      <c r="P79" s="134" t="str">
        <f t="shared" si="12"/>
        <v>Twee onder een kap</v>
      </c>
      <c r="Q79" s="134" t="str">
        <f t="shared" si="12"/>
        <v>Vrijstaande 
woning</v>
      </c>
      <c r="R79" s="134" t="str">
        <f t="shared" si="12"/>
        <v>Gestapeld 
t/m 4 lagen</v>
      </c>
      <c r="S79" s="134" t="str">
        <f t="shared" si="12"/>
        <v>Gestapeld 
5 t/m 12 lagen</v>
      </c>
      <c r="T79" s="134" t="str">
        <f t="shared" si="12"/>
        <v>Gestapeld 13 of meer lagen</v>
      </c>
    </row>
    <row r="80" spans="2:20" ht="15">
      <c r="B80" s="142">
        <v>2023</v>
      </c>
      <c r="C80" s="147">
        <f t="shared" ref="C80:H95" si="13">+IF($B80="","",(C$3*C$6)*(1+$K$4)^($B80-$B$80))</f>
        <v>0</v>
      </c>
      <c r="D80" s="147">
        <f t="shared" si="13"/>
        <v>0</v>
      </c>
      <c r="E80" s="147">
        <f t="shared" si="13"/>
        <v>0</v>
      </c>
      <c r="F80" s="147">
        <f t="shared" si="13"/>
        <v>0</v>
      </c>
      <c r="G80" s="147">
        <f t="shared" si="13"/>
        <v>0</v>
      </c>
      <c r="H80" s="147">
        <f t="shared" si="13"/>
        <v>0</v>
      </c>
      <c r="I80" s="147">
        <f t="shared" ref="I80:N111" si="14">+IF($B80="","",(C$3*C$7)*(1+$K$5)^($B80-$B$80))</f>
        <v>0</v>
      </c>
      <c r="J80" s="147">
        <f t="shared" si="14"/>
        <v>0</v>
      </c>
      <c r="K80" s="147">
        <f t="shared" si="14"/>
        <v>0</v>
      </c>
      <c r="L80" s="147">
        <f t="shared" si="14"/>
        <v>0</v>
      </c>
      <c r="M80" s="147">
        <f t="shared" si="14"/>
        <v>0</v>
      </c>
      <c r="N80" s="147">
        <f t="shared" si="14"/>
        <v>0</v>
      </c>
      <c r="O80" s="147">
        <f t="shared" ref="O80:T111" si="15">+IF($B80="","",(C$3*C$8)*(1+$K$6)^($B80-$B$80))</f>
        <v>0</v>
      </c>
      <c r="P80" s="147">
        <f t="shared" si="15"/>
        <v>0</v>
      </c>
      <c r="Q80" s="147">
        <f t="shared" si="15"/>
        <v>0</v>
      </c>
      <c r="R80" s="147">
        <f t="shared" si="15"/>
        <v>0</v>
      </c>
      <c r="S80" s="147">
        <f t="shared" si="15"/>
        <v>0</v>
      </c>
      <c r="T80" s="147">
        <f t="shared" si="15"/>
        <v>0</v>
      </c>
    </row>
    <row r="81" spans="2:20" ht="15">
      <c r="B81" s="142">
        <f t="shared" ref="B81:B139" si="16">+IF(B80="","",IF($B$80+$C$4&gt;B80+1,B80+1,""))</f>
        <v>2024</v>
      </c>
      <c r="C81" s="147">
        <f t="shared" si="13"/>
        <v>0</v>
      </c>
      <c r="D81" s="147">
        <f t="shared" si="13"/>
        <v>0</v>
      </c>
      <c r="E81" s="147">
        <f t="shared" si="13"/>
        <v>0</v>
      </c>
      <c r="F81" s="147">
        <f t="shared" si="13"/>
        <v>0</v>
      </c>
      <c r="G81" s="147">
        <f t="shared" si="13"/>
        <v>0</v>
      </c>
      <c r="H81" s="147">
        <f t="shared" si="13"/>
        <v>0</v>
      </c>
      <c r="I81" s="147">
        <f t="shared" si="14"/>
        <v>0</v>
      </c>
      <c r="J81" s="147">
        <f t="shared" si="14"/>
        <v>0</v>
      </c>
      <c r="K81" s="147">
        <f t="shared" si="14"/>
        <v>0</v>
      </c>
      <c r="L81" s="147">
        <f t="shared" si="14"/>
        <v>0</v>
      </c>
      <c r="M81" s="147">
        <f t="shared" si="14"/>
        <v>0</v>
      </c>
      <c r="N81" s="147">
        <f t="shared" si="14"/>
        <v>0</v>
      </c>
      <c r="O81" s="147">
        <f t="shared" si="15"/>
        <v>0</v>
      </c>
      <c r="P81" s="147">
        <f t="shared" si="15"/>
        <v>0</v>
      </c>
      <c r="Q81" s="147">
        <f t="shared" si="15"/>
        <v>0</v>
      </c>
      <c r="R81" s="147">
        <f t="shared" si="15"/>
        <v>0</v>
      </c>
      <c r="S81" s="147">
        <f t="shared" si="15"/>
        <v>0</v>
      </c>
      <c r="T81" s="147">
        <f t="shared" si="15"/>
        <v>0</v>
      </c>
    </row>
    <row r="82" spans="2:20" ht="15">
      <c r="B82" s="142">
        <f t="shared" si="16"/>
        <v>2025</v>
      </c>
      <c r="C82" s="147">
        <f t="shared" si="13"/>
        <v>0</v>
      </c>
      <c r="D82" s="147">
        <f t="shared" si="13"/>
        <v>0</v>
      </c>
      <c r="E82" s="147">
        <f t="shared" si="13"/>
        <v>0</v>
      </c>
      <c r="F82" s="147">
        <f t="shared" si="13"/>
        <v>0</v>
      </c>
      <c r="G82" s="147">
        <f t="shared" si="13"/>
        <v>0</v>
      </c>
      <c r="H82" s="147">
        <f t="shared" si="13"/>
        <v>0</v>
      </c>
      <c r="I82" s="147">
        <f t="shared" si="14"/>
        <v>0</v>
      </c>
      <c r="J82" s="147">
        <f t="shared" si="14"/>
        <v>0</v>
      </c>
      <c r="K82" s="147">
        <f t="shared" si="14"/>
        <v>0</v>
      </c>
      <c r="L82" s="147">
        <f t="shared" si="14"/>
        <v>0</v>
      </c>
      <c r="M82" s="147">
        <f t="shared" si="14"/>
        <v>0</v>
      </c>
      <c r="N82" s="147">
        <f t="shared" si="14"/>
        <v>0</v>
      </c>
      <c r="O82" s="147">
        <f t="shared" si="15"/>
        <v>0</v>
      </c>
      <c r="P82" s="147">
        <f t="shared" si="15"/>
        <v>0</v>
      </c>
      <c r="Q82" s="147">
        <f t="shared" si="15"/>
        <v>0</v>
      </c>
      <c r="R82" s="147">
        <f t="shared" si="15"/>
        <v>0</v>
      </c>
      <c r="S82" s="147">
        <f t="shared" si="15"/>
        <v>0</v>
      </c>
      <c r="T82" s="147">
        <f t="shared" si="15"/>
        <v>0</v>
      </c>
    </row>
    <row r="83" spans="2:20" ht="15">
      <c r="B83" s="142">
        <f t="shared" si="16"/>
        <v>2026</v>
      </c>
      <c r="C83" s="147">
        <f t="shared" si="13"/>
        <v>0</v>
      </c>
      <c r="D83" s="147">
        <f t="shared" si="13"/>
        <v>0</v>
      </c>
      <c r="E83" s="147">
        <f t="shared" si="13"/>
        <v>0</v>
      </c>
      <c r="F83" s="147">
        <f t="shared" si="13"/>
        <v>0</v>
      </c>
      <c r="G83" s="147">
        <f t="shared" si="13"/>
        <v>0</v>
      </c>
      <c r="H83" s="147">
        <f t="shared" si="13"/>
        <v>0</v>
      </c>
      <c r="I83" s="147">
        <f t="shared" si="14"/>
        <v>0</v>
      </c>
      <c r="J83" s="147">
        <f t="shared" si="14"/>
        <v>0</v>
      </c>
      <c r="K83" s="147">
        <f t="shared" si="14"/>
        <v>0</v>
      </c>
      <c r="L83" s="147">
        <f t="shared" si="14"/>
        <v>0</v>
      </c>
      <c r="M83" s="147">
        <f t="shared" si="14"/>
        <v>0</v>
      </c>
      <c r="N83" s="147">
        <f t="shared" si="14"/>
        <v>0</v>
      </c>
      <c r="O83" s="147">
        <f t="shared" si="15"/>
        <v>0</v>
      </c>
      <c r="P83" s="147">
        <f t="shared" si="15"/>
        <v>0</v>
      </c>
      <c r="Q83" s="147">
        <f t="shared" si="15"/>
        <v>0</v>
      </c>
      <c r="R83" s="147">
        <f t="shared" si="15"/>
        <v>0</v>
      </c>
      <c r="S83" s="147">
        <f t="shared" si="15"/>
        <v>0</v>
      </c>
      <c r="T83" s="147">
        <f t="shared" si="15"/>
        <v>0</v>
      </c>
    </row>
    <row r="84" spans="2:20" ht="15">
      <c r="B84" s="142">
        <f t="shared" si="16"/>
        <v>2027</v>
      </c>
      <c r="C84" s="147">
        <f t="shared" si="13"/>
        <v>0</v>
      </c>
      <c r="D84" s="147">
        <f t="shared" si="13"/>
        <v>0</v>
      </c>
      <c r="E84" s="147">
        <f t="shared" si="13"/>
        <v>0</v>
      </c>
      <c r="F84" s="147">
        <f t="shared" si="13"/>
        <v>0</v>
      </c>
      <c r="G84" s="147">
        <f t="shared" si="13"/>
        <v>0</v>
      </c>
      <c r="H84" s="147">
        <f t="shared" si="13"/>
        <v>0</v>
      </c>
      <c r="I84" s="147">
        <f t="shared" si="14"/>
        <v>0</v>
      </c>
      <c r="J84" s="147">
        <f t="shared" si="14"/>
        <v>0</v>
      </c>
      <c r="K84" s="147">
        <f t="shared" si="14"/>
        <v>0</v>
      </c>
      <c r="L84" s="147">
        <f t="shared" si="14"/>
        <v>0</v>
      </c>
      <c r="M84" s="147">
        <f t="shared" si="14"/>
        <v>0</v>
      </c>
      <c r="N84" s="147">
        <f t="shared" si="14"/>
        <v>0</v>
      </c>
      <c r="O84" s="147">
        <f t="shared" si="15"/>
        <v>0</v>
      </c>
      <c r="P84" s="147">
        <f t="shared" si="15"/>
        <v>0</v>
      </c>
      <c r="Q84" s="147">
        <f t="shared" si="15"/>
        <v>0</v>
      </c>
      <c r="R84" s="147">
        <f t="shared" si="15"/>
        <v>0</v>
      </c>
      <c r="S84" s="147">
        <f t="shared" si="15"/>
        <v>0</v>
      </c>
      <c r="T84" s="147">
        <f t="shared" si="15"/>
        <v>0</v>
      </c>
    </row>
    <row r="85" spans="2:20" ht="15">
      <c r="B85" s="142">
        <f t="shared" si="16"/>
        <v>2028</v>
      </c>
      <c r="C85" s="147">
        <f t="shared" si="13"/>
        <v>0</v>
      </c>
      <c r="D85" s="147">
        <f t="shared" si="13"/>
        <v>0</v>
      </c>
      <c r="E85" s="147">
        <f t="shared" si="13"/>
        <v>0</v>
      </c>
      <c r="F85" s="147">
        <f t="shared" si="13"/>
        <v>0</v>
      </c>
      <c r="G85" s="147">
        <f t="shared" si="13"/>
        <v>0</v>
      </c>
      <c r="H85" s="147">
        <f t="shared" si="13"/>
        <v>0</v>
      </c>
      <c r="I85" s="147">
        <f t="shared" si="14"/>
        <v>0</v>
      </c>
      <c r="J85" s="147">
        <f t="shared" si="14"/>
        <v>0</v>
      </c>
      <c r="K85" s="147">
        <f t="shared" si="14"/>
        <v>0</v>
      </c>
      <c r="L85" s="147">
        <f t="shared" si="14"/>
        <v>0</v>
      </c>
      <c r="M85" s="147">
        <f t="shared" si="14"/>
        <v>0</v>
      </c>
      <c r="N85" s="147">
        <f t="shared" si="14"/>
        <v>0</v>
      </c>
      <c r="O85" s="147">
        <f t="shared" si="15"/>
        <v>0</v>
      </c>
      <c r="P85" s="147">
        <f t="shared" si="15"/>
        <v>0</v>
      </c>
      <c r="Q85" s="147">
        <f t="shared" si="15"/>
        <v>0</v>
      </c>
      <c r="R85" s="147">
        <f t="shared" si="15"/>
        <v>0</v>
      </c>
      <c r="S85" s="147">
        <f t="shared" si="15"/>
        <v>0</v>
      </c>
      <c r="T85" s="147">
        <f t="shared" si="15"/>
        <v>0</v>
      </c>
    </row>
    <row r="86" spans="2:20" ht="15">
      <c r="B86" s="142">
        <f t="shared" si="16"/>
        <v>2029</v>
      </c>
      <c r="C86" s="147">
        <f t="shared" si="13"/>
        <v>0</v>
      </c>
      <c r="D86" s="147">
        <f t="shared" si="13"/>
        <v>0</v>
      </c>
      <c r="E86" s="147">
        <f t="shared" si="13"/>
        <v>0</v>
      </c>
      <c r="F86" s="147">
        <f t="shared" si="13"/>
        <v>0</v>
      </c>
      <c r="G86" s="147">
        <f t="shared" si="13"/>
        <v>0</v>
      </c>
      <c r="H86" s="147">
        <f t="shared" si="13"/>
        <v>0</v>
      </c>
      <c r="I86" s="147">
        <f t="shared" si="14"/>
        <v>0</v>
      </c>
      <c r="J86" s="147">
        <f t="shared" si="14"/>
        <v>0</v>
      </c>
      <c r="K86" s="147">
        <f t="shared" si="14"/>
        <v>0</v>
      </c>
      <c r="L86" s="147">
        <f t="shared" si="14"/>
        <v>0</v>
      </c>
      <c r="M86" s="147">
        <f t="shared" si="14"/>
        <v>0</v>
      </c>
      <c r="N86" s="147">
        <f t="shared" si="14"/>
        <v>0</v>
      </c>
      <c r="O86" s="147">
        <f t="shared" si="15"/>
        <v>0</v>
      </c>
      <c r="P86" s="147">
        <f t="shared" si="15"/>
        <v>0</v>
      </c>
      <c r="Q86" s="147">
        <f t="shared" si="15"/>
        <v>0</v>
      </c>
      <c r="R86" s="147">
        <f t="shared" si="15"/>
        <v>0</v>
      </c>
      <c r="S86" s="147">
        <f t="shared" si="15"/>
        <v>0</v>
      </c>
      <c r="T86" s="147">
        <f t="shared" si="15"/>
        <v>0</v>
      </c>
    </row>
    <row r="87" spans="2:20" ht="15">
      <c r="B87" s="142">
        <f t="shared" si="16"/>
        <v>2030</v>
      </c>
      <c r="C87" s="147">
        <f t="shared" si="13"/>
        <v>0</v>
      </c>
      <c r="D87" s="147">
        <f t="shared" si="13"/>
        <v>0</v>
      </c>
      <c r="E87" s="147">
        <f t="shared" si="13"/>
        <v>0</v>
      </c>
      <c r="F87" s="147">
        <f t="shared" si="13"/>
        <v>0</v>
      </c>
      <c r="G87" s="147">
        <f t="shared" si="13"/>
        <v>0</v>
      </c>
      <c r="H87" s="147">
        <f t="shared" si="13"/>
        <v>0</v>
      </c>
      <c r="I87" s="147">
        <f t="shared" si="14"/>
        <v>0</v>
      </c>
      <c r="J87" s="147">
        <f t="shared" si="14"/>
        <v>0</v>
      </c>
      <c r="K87" s="147">
        <f t="shared" si="14"/>
        <v>0</v>
      </c>
      <c r="L87" s="147">
        <f t="shared" si="14"/>
        <v>0</v>
      </c>
      <c r="M87" s="147">
        <f t="shared" si="14"/>
        <v>0</v>
      </c>
      <c r="N87" s="147">
        <f t="shared" si="14"/>
        <v>0</v>
      </c>
      <c r="O87" s="147">
        <f t="shared" si="15"/>
        <v>0</v>
      </c>
      <c r="P87" s="147">
        <f t="shared" si="15"/>
        <v>0</v>
      </c>
      <c r="Q87" s="147">
        <f t="shared" si="15"/>
        <v>0</v>
      </c>
      <c r="R87" s="147">
        <f t="shared" si="15"/>
        <v>0</v>
      </c>
      <c r="S87" s="147">
        <f t="shared" si="15"/>
        <v>0</v>
      </c>
      <c r="T87" s="147">
        <f t="shared" si="15"/>
        <v>0</v>
      </c>
    </row>
    <row r="88" spans="2:20" ht="15">
      <c r="B88" s="142">
        <f t="shared" si="16"/>
        <v>2031</v>
      </c>
      <c r="C88" s="147">
        <f t="shared" si="13"/>
        <v>0</v>
      </c>
      <c r="D88" s="147">
        <f t="shared" si="13"/>
        <v>0</v>
      </c>
      <c r="E88" s="147">
        <f t="shared" si="13"/>
        <v>0</v>
      </c>
      <c r="F88" s="147">
        <f t="shared" si="13"/>
        <v>0</v>
      </c>
      <c r="G88" s="147">
        <f t="shared" si="13"/>
        <v>0</v>
      </c>
      <c r="H88" s="147">
        <f t="shared" si="13"/>
        <v>0</v>
      </c>
      <c r="I88" s="147">
        <f t="shared" si="14"/>
        <v>0</v>
      </c>
      <c r="J88" s="147">
        <f t="shared" si="14"/>
        <v>0</v>
      </c>
      <c r="K88" s="147">
        <f t="shared" si="14"/>
        <v>0</v>
      </c>
      <c r="L88" s="147">
        <f t="shared" si="14"/>
        <v>0</v>
      </c>
      <c r="M88" s="147">
        <f t="shared" si="14"/>
        <v>0</v>
      </c>
      <c r="N88" s="147">
        <f t="shared" si="14"/>
        <v>0</v>
      </c>
      <c r="O88" s="147">
        <f t="shared" si="15"/>
        <v>0</v>
      </c>
      <c r="P88" s="147">
        <f t="shared" si="15"/>
        <v>0</v>
      </c>
      <c r="Q88" s="147">
        <f t="shared" si="15"/>
        <v>0</v>
      </c>
      <c r="R88" s="147">
        <f t="shared" si="15"/>
        <v>0</v>
      </c>
      <c r="S88" s="147">
        <f t="shared" si="15"/>
        <v>0</v>
      </c>
      <c r="T88" s="147">
        <f t="shared" si="15"/>
        <v>0</v>
      </c>
    </row>
    <row r="89" spans="2:20" ht="15">
      <c r="B89" s="142">
        <f t="shared" si="16"/>
        <v>2032</v>
      </c>
      <c r="C89" s="147">
        <f t="shared" si="13"/>
        <v>0</v>
      </c>
      <c r="D89" s="147">
        <f t="shared" si="13"/>
        <v>0</v>
      </c>
      <c r="E89" s="147">
        <f t="shared" si="13"/>
        <v>0</v>
      </c>
      <c r="F89" s="147">
        <f t="shared" si="13"/>
        <v>0</v>
      </c>
      <c r="G89" s="147">
        <f t="shared" si="13"/>
        <v>0</v>
      </c>
      <c r="H89" s="147">
        <f t="shared" si="13"/>
        <v>0</v>
      </c>
      <c r="I89" s="147">
        <f t="shared" si="14"/>
        <v>0</v>
      </c>
      <c r="J89" s="147">
        <f t="shared" si="14"/>
        <v>0</v>
      </c>
      <c r="K89" s="147">
        <f t="shared" si="14"/>
        <v>0</v>
      </c>
      <c r="L89" s="147">
        <f t="shared" si="14"/>
        <v>0</v>
      </c>
      <c r="M89" s="147">
        <f t="shared" si="14"/>
        <v>0</v>
      </c>
      <c r="N89" s="147">
        <f t="shared" si="14"/>
        <v>0</v>
      </c>
      <c r="O89" s="147">
        <f t="shared" si="15"/>
        <v>0</v>
      </c>
      <c r="P89" s="147">
        <f t="shared" si="15"/>
        <v>0</v>
      </c>
      <c r="Q89" s="147">
        <f t="shared" si="15"/>
        <v>0</v>
      </c>
      <c r="R89" s="147">
        <f t="shared" si="15"/>
        <v>0</v>
      </c>
      <c r="S89" s="147">
        <f t="shared" si="15"/>
        <v>0</v>
      </c>
      <c r="T89" s="147">
        <f t="shared" si="15"/>
        <v>0</v>
      </c>
    </row>
    <row r="90" spans="2:20" ht="15">
      <c r="B90" s="142">
        <f t="shared" si="16"/>
        <v>2033</v>
      </c>
      <c r="C90" s="147">
        <f t="shared" si="13"/>
        <v>0</v>
      </c>
      <c r="D90" s="147">
        <f t="shared" si="13"/>
        <v>0</v>
      </c>
      <c r="E90" s="147">
        <f t="shared" si="13"/>
        <v>0</v>
      </c>
      <c r="F90" s="147">
        <f t="shared" si="13"/>
        <v>0</v>
      </c>
      <c r="G90" s="147">
        <f t="shared" si="13"/>
        <v>0</v>
      </c>
      <c r="H90" s="147">
        <f t="shared" si="13"/>
        <v>0</v>
      </c>
      <c r="I90" s="147">
        <f t="shared" si="14"/>
        <v>0</v>
      </c>
      <c r="J90" s="147">
        <f t="shared" si="14"/>
        <v>0</v>
      </c>
      <c r="K90" s="147">
        <f t="shared" si="14"/>
        <v>0</v>
      </c>
      <c r="L90" s="147">
        <f t="shared" si="14"/>
        <v>0</v>
      </c>
      <c r="M90" s="147">
        <f t="shared" si="14"/>
        <v>0</v>
      </c>
      <c r="N90" s="147">
        <f t="shared" si="14"/>
        <v>0</v>
      </c>
      <c r="O90" s="147">
        <f t="shared" si="15"/>
        <v>0</v>
      </c>
      <c r="P90" s="147">
        <f t="shared" si="15"/>
        <v>0</v>
      </c>
      <c r="Q90" s="147">
        <f t="shared" si="15"/>
        <v>0</v>
      </c>
      <c r="R90" s="147">
        <f t="shared" si="15"/>
        <v>0</v>
      </c>
      <c r="S90" s="147">
        <f t="shared" si="15"/>
        <v>0</v>
      </c>
      <c r="T90" s="147">
        <f t="shared" si="15"/>
        <v>0</v>
      </c>
    </row>
    <row r="91" spans="2:20" ht="15">
      <c r="B91" s="142">
        <f t="shared" si="16"/>
        <v>2034</v>
      </c>
      <c r="C91" s="147">
        <f t="shared" si="13"/>
        <v>0</v>
      </c>
      <c r="D91" s="147">
        <f t="shared" si="13"/>
        <v>0</v>
      </c>
      <c r="E91" s="147">
        <f t="shared" si="13"/>
        <v>0</v>
      </c>
      <c r="F91" s="147">
        <f t="shared" si="13"/>
        <v>0</v>
      </c>
      <c r="G91" s="147">
        <f t="shared" si="13"/>
        <v>0</v>
      </c>
      <c r="H91" s="147">
        <f t="shared" si="13"/>
        <v>0</v>
      </c>
      <c r="I91" s="147">
        <f t="shared" si="14"/>
        <v>0</v>
      </c>
      <c r="J91" s="147">
        <f t="shared" si="14"/>
        <v>0</v>
      </c>
      <c r="K91" s="147">
        <f t="shared" si="14"/>
        <v>0</v>
      </c>
      <c r="L91" s="147">
        <f t="shared" si="14"/>
        <v>0</v>
      </c>
      <c r="M91" s="147">
        <f t="shared" si="14"/>
        <v>0</v>
      </c>
      <c r="N91" s="147">
        <f t="shared" si="14"/>
        <v>0</v>
      </c>
      <c r="O91" s="147">
        <f t="shared" si="15"/>
        <v>0</v>
      </c>
      <c r="P91" s="147">
        <f t="shared" si="15"/>
        <v>0</v>
      </c>
      <c r="Q91" s="147">
        <f t="shared" si="15"/>
        <v>0</v>
      </c>
      <c r="R91" s="147">
        <f t="shared" si="15"/>
        <v>0</v>
      </c>
      <c r="S91" s="147">
        <f t="shared" si="15"/>
        <v>0</v>
      </c>
      <c r="T91" s="147">
        <f t="shared" si="15"/>
        <v>0</v>
      </c>
    </row>
    <row r="92" spans="2:20" ht="15">
      <c r="B92" s="142">
        <f t="shared" si="16"/>
        <v>2035</v>
      </c>
      <c r="C92" s="147">
        <f t="shared" si="13"/>
        <v>0</v>
      </c>
      <c r="D92" s="147">
        <f t="shared" si="13"/>
        <v>0</v>
      </c>
      <c r="E92" s="147">
        <f t="shared" si="13"/>
        <v>0</v>
      </c>
      <c r="F92" s="147">
        <f t="shared" si="13"/>
        <v>0</v>
      </c>
      <c r="G92" s="147">
        <f t="shared" si="13"/>
        <v>0</v>
      </c>
      <c r="H92" s="147">
        <f t="shared" si="13"/>
        <v>0</v>
      </c>
      <c r="I92" s="147">
        <f t="shared" si="14"/>
        <v>0</v>
      </c>
      <c r="J92" s="147">
        <f t="shared" si="14"/>
        <v>0</v>
      </c>
      <c r="K92" s="147">
        <f t="shared" si="14"/>
        <v>0</v>
      </c>
      <c r="L92" s="147">
        <f t="shared" si="14"/>
        <v>0</v>
      </c>
      <c r="M92" s="147">
        <f t="shared" si="14"/>
        <v>0</v>
      </c>
      <c r="N92" s="147">
        <f t="shared" si="14"/>
        <v>0</v>
      </c>
      <c r="O92" s="147">
        <f t="shared" si="15"/>
        <v>0</v>
      </c>
      <c r="P92" s="147">
        <f t="shared" si="15"/>
        <v>0</v>
      </c>
      <c r="Q92" s="147">
        <f t="shared" si="15"/>
        <v>0</v>
      </c>
      <c r="R92" s="147">
        <f t="shared" si="15"/>
        <v>0</v>
      </c>
      <c r="S92" s="147">
        <f t="shared" si="15"/>
        <v>0</v>
      </c>
      <c r="T92" s="147">
        <f t="shared" si="15"/>
        <v>0</v>
      </c>
    </row>
    <row r="93" spans="2:20" ht="15">
      <c r="B93" s="142">
        <f t="shared" si="16"/>
        <v>2036</v>
      </c>
      <c r="C93" s="147">
        <f t="shared" si="13"/>
        <v>0</v>
      </c>
      <c r="D93" s="147">
        <f t="shared" si="13"/>
        <v>0</v>
      </c>
      <c r="E93" s="147">
        <f t="shared" si="13"/>
        <v>0</v>
      </c>
      <c r="F93" s="147">
        <f t="shared" si="13"/>
        <v>0</v>
      </c>
      <c r="G93" s="147">
        <f t="shared" si="13"/>
        <v>0</v>
      </c>
      <c r="H93" s="147">
        <f t="shared" si="13"/>
        <v>0</v>
      </c>
      <c r="I93" s="147">
        <f t="shared" si="14"/>
        <v>0</v>
      </c>
      <c r="J93" s="147">
        <f t="shared" si="14"/>
        <v>0</v>
      </c>
      <c r="K93" s="147">
        <f t="shared" si="14"/>
        <v>0</v>
      </c>
      <c r="L93" s="147">
        <f t="shared" si="14"/>
        <v>0</v>
      </c>
      <c r="M93" s="147">
        <f t="shared" si="14"/>
        <v>0</v>
      </c>
      <c r="N93" s="147">
        <f t="shared" si="14"/>
        <v>0</v>
      </c>
      <c r="O93" s="147">
        <f t="shared" si="15"/>
        <v>0</v>
      </c>
      <c r="P93" s="147">
        <f t="shared" si="15"/>
        <v>0</v>
      </c>
      <c r="Q93" s="147">
        <f t="shared" si="15"/>
        <v>0</v>
      </c>
      <c r="R93" s="147">
        <f t="shared" si="15"/>
        <v>0</v>
      </c>
      <c r="S93" s="147">
        <f t="shared" si="15"/>
        <v>0</v>
      </c>
      <c r="T93" s="147">
        <f t="shared" si="15"/>
        <v>0</v>
      </c>
    </row>
    <row r="94" spans="2:20" ht="15">
      <c r="B94" s="142">
        <f t="shared" si="16"/>
        <v>2037</v>
      </c>
      <c r="C94" s="147">
        <f t="shared" si="13"/>
        <v>0</v>
      </c>
      <c r="D94" s="147">
        <f t="shared" si="13"/>
        <v>0</v>
      </c>
      <c r="E94" s="147">
        <f t="shared" si="13"/>
        <v>0</v>
      </c>
      <c r="F94" s="147">
        <f t="shared" si="13"/>
        <v>0</v>
      </c>
      <c r="G94" s="147">
        <f t="shared" si="13"/>
        <v>0</v>
      </c>
      <c r="H94" s="147">
        <f t="shared" si="13"/>
        <v>0</v>
      </c>
      <c r="I94" s="147">
        <f t="shared" si="14"/>
        <v>0</v>
      </c>
      <c r="J94" s="147">
        <f t="shared" si="14"/>
        <v>0</v>
      </c>
      <c r="K94" s="147">
        <f t="shared" si="14"/>
        <v>0</v>
      </c>
      <c r="L94" s="147">
        <f t="shared" si="14"/>
        <v>0</v>
      </c>
      <c r="M94" s="147">
        <f t="shared" si="14"/>
        <v>0</v>
      </c>
      <c r="N94" s="147">
        <f t="shared" si="14"/>
        <v>0</v>
      </c>
      <c r="O94" s="147">
        <f t="shared" si="15"/>
        <v>0</v>
      </c>
      <c r="P94" s="147">
        <f t="shared" si="15"/>
        <v>0</v>
      </c>
      <c r="Q94" s="147">
        <f t="shared" si="15"/>
        <v>0</v>
      </c>
      <c r="R94" s="147">
        <f t="shared" si="15"/>
        <v>0</v>
      </c>
      <c r="S94" s="147">
        <f t="shared" si="15"/>
        <v>0</v>
      </c>
      <c r="T94" s="147">
        <f t="shared" si="15"/>
        <v>0</v>
      </c>
    </row>
    <row r="95" spans="2:20" ht="15">
      <c r="B95" s="142">
        <f t="shared" si="16"/>
        <v>2038</v>
      </c>
      <c r="C95" s="147">
        <f t="shared" si="13"/>
        <v>0</v>
      </c>
      <c r="D95" s="147">
        <f t="shared" si="13"/>
        <v>0</v>
      </c>
      <c r="E95" s="147">
        <f t="shared" si="13"/>
        <v>0</v>
      </c>
      <c r="F95" s="147">
        <f t="shared" si="13"/>
        <v>0</v>
      </c>
      <c r="G95" s="147">
        <f t="shared" si="13"/>
        <v>0</v>
      </c>
      <c r="H95" s="147">
        <f t="shared" si="13"/>
        <v>0</v>
      </c>
      <c r="I95" s="147">
        <f t="shared" si="14"/>
        <v>0</v>
      </c>
      <c r="J95" s="147">
        <f t="shared" si="14"/>
        <v>0</v>
      </c>
      <c r="K95" s="147">
        <f t="shared" si="14"/>
        <v>0</v>
      </c>
      <c r="L95" s="147">
        <f t="shared" si="14"/>
        <v>0</v>
      </c>
      <c r="M95" s="147">
        <f t="shared" si="14"/>
        <v>0</v>
      </c>
      <c r="N95" s="147">
        <f t="shared" si="14"/>
        <v>0</v>
      </c>
      <c r="O95" s="147">
        <f t="shared" si="15"/>
        <v>0</v>
      </c>
      <c r="P95" s="147">
        <f t="shared" si="15"/>
        <v>0</v>
      </c>
      <c r="Q95" s="147">
        <f t="shared" si="15"/>
        <v>0</v>
      </c>
      <c r="R95" s="147">
        <f t="shared" si="15"/>
        <v>0</v>
      </c>
      <c r="S95" s="147">
        <f t="shared" si="15"/>
        <v>0</v>
      </c>
      <c r="T95" s="147">
        <f t="shared" si="15"/>
        <v>0</v>
      </c>
    </row>
    <row r="96" spans="2:20" ht="15">
      <c r="B96" s="142">
        <f t="shared" si="16"/>
        <v>2039</v>
      </c>
      <c r="C96" s="147">
        <f t="shared" ref="C96:H111" si="17">+IF($B96="","",(C$3*C$6)*(1+$K$4)^($B96-$B$80))</f>
        <v>0</v>
      </c>
      <c r="D96" s="147">
        <f t="shared" si="17"/>
        <v>0</v>
      </c>
      <c r="E96" s="147">
        <f t="shared" si="17"/>
        <v>0</v>
      </c>
      <c r="F96" s="147">
        <f t="shared" si="17"/>
        <v>0</v>
      </c>
      <c r="G96" s="147">
        <f t="shared" si="17"/>
        <v>0</v>
      </c>
      <c r="H96" s="147">
        <f t="shared" si="17"/>
        <v>0</v>
      </c>
      <c r="I96" s="147">
        <f t="shared" si="14"/>
        <v>0</v>
      </c>
      <c r="J96" s="147">
        <f t="shared" si="14"/>
        <v>0</v>
      </c>
      <c r="K96" s="147">
        <f t="shared" si="14"/>
        <v>0</v>
      </c>
      <c r="L96" s="147">
        <f t="shared" si="14"/>
        <v>0</v>
      </c>
      <c r="M96" s="147">
        <f t="shared" si="14"/>
        <v>0</v>
      </c>
      <c r="N96" s="147">
        <f t="shared" si="14"/>
        <v>0</v>
      </c>
      <c r="O96" s="147">
        <f t="shared" si="15"/>
        <v>0</v>
      </c>
      <c r="P96" s="147">
        <f t="shared" si="15"/>
        <v>0</v>
      </c>
      <c r="Q96" s="147">
        <f t="shared" si="15"/>
        <v>0</v>
      </c>
      <c r="R96" s="147">
        <f t="shared" si="15"/>
        <v>0</v>
      </c>
      <c r="S96" s="147">
        <f t="shared" si="15"/>
        <v>0</v>
      </c>
      <c r="T96" s="147">
        <f t="shared" si="15"/>
        <v>0</v>
      </c>
    </row>
    <row r="97" spans="2:20" ht="15">
      <c r="B97" s="142">
        <f t="shared" si="16"/>
        <v>2040</v>
      </c>
      <c r="C97" s="147">
        <f t="shared" si="17"/>
        <v>0</v>
      </c>
      <c r="D97" s="147">
        <f t="shared" si="17"/>
        <v>0</v>
      </c>
      <c r="E97" s="147">
        <f t="shared" si="17"/>
        <v>0</v>
      </c>
      <c r="F97" s="147">
        <f t="shared" si="17"/>
        <v>0</v>
      </c>
      <c r="G97" s="147">
        <f t="shared" si="17"/>
        <v>0</v>
      </c>
      <c r="H97" s="147">
        <f t="shared" si="17"/>
        <v>0</v>
      </c>
      <c r="I97" s="147">
        <f t="shared" si="14"/>
        <v>0</v>
      </c>
      <c r="J97" s="147">
        <f t="shared" si="14"/>
        <v>0</v>
      </c>
      <c r="K97" s="147">
        <f t="shared" si="14"/>
        <v>0</v>
      </c>
      <c r="L97" s="147">
        <f t="shared" si="14"/>
        <v>0</v>
      </c>
      <c r="M97" s="147">
        <f t="shared" si="14"/>
        <v>0</v>
      </c>
      <c r="N97" s="147">
        <f t="shared" si="14"/>
        <v>0</v>
      </c>
      <c r="O97" s="147">
        <f t="shared" si="15"/>
        <v>0</v>
      </c>
      <c r="P97" s="147">
        <f t="shared" si="15"/>
        <v>0</v>
      </c>
      <c r="Q97" s="147">
        <f t="shared" si="15"/>
        <v>0</v>
      </c>
      <c r="R97" s="147">
        <f t="shared" si="15"/>
        <v>0</v>
      </c>
      <c r="S97" s="147">
        <f t="shared" si="15"/>
        <v>0</v>
      </c>
      <c r="T97" s="147">
        <f t="shared" si="15"/>
        <v>0</v>
      </c>
    </row>
    <row r="98" spans="2:20" ht="15">
      <c r="B98" s="142">
        <f t="shared" si="16"/>
        <v>2041</v>
      </c>
      <c r="C98" s="147">
        <f t="shared" si="17"/>
        <v>0</v>
      </c>
      <c r="D98" s="147">
        <f t="shared" si="17"/>
        <v>0</v>
      </c>
      <c r="E98" s="147">
        <f t="shared" si="17"/>
        <v>0</v>
      </c>
      <c r="F98" s="147">
        <f t="shared" si="17"/>
        <v>0</v>
      </c>
      <c r="G98" s="147">
        <f t="shared" si="17"/>
        <v>0</v>
      </c>
      <c r="H98" s="147">
        <f t="shared" si="17"/>
        <v>0</v>
      </c>
      <c r="I98" s="147">
        <f t="shared" si="14"/>
        <v>0</v>
      </c>
      <c r="J98" s="147">
        <f t="shared" si="14"/>
        <v>0</v>
      </c>
      <c r="K98" s="147">
        <f t="shared" si="14"/>
        <v>0</v>
      </c>
      <c r="L98" s="147">
        <f t="shared" si="14"/>
        <v>0</v>
      </c>
      <c r="M98" s="147">
        <f t="shared" si="14"/>
        <v>0</v>
      </c>
      <c r="N98" s="147">
        <f t="shared" si="14"/>
        <v>0</v>
      </c>
      <c r="O98" s="147">
        <f t="shared" si="15"/>
        <v>0</v>
      </c>
      <c r="P98" s="147">
        <f t="shared" si="15"/>
        <v>0</v>
      </c>
      <c r="Q98" s="147">
        <f t="shared" si="15"/>
        <v>0</v>
      </c>
      <c r="R98" s="147">
        <f t="shared" si="15"/>
        <v>0</v>
      </c>
      <c r="S98" s="147">
        <f t="shared" si="15"/>
        <v>0</v>
      </c>
      <c r="T98" s="147">
        <f t="shared" si="15"/>
        <v>0</v>
      </c>
    </row>
    <row r="99" spans="2:20" ht="15">
      <c r="B99" s="142">
        <f t="shared" si="16"/>
        <v>2042</v>
      </c>
      <c r="C99" s="147">
        <f t="shared" si="17"/>
        <v>0</v>
      </c>
      <c r="D99" s="147">
        <f t="shared" si="17"/>
        <v>0</v>
      </c>
      <c r="E99" s="147">
        <f t="shared" si="17"/>
        <v>0</v>
      </c>
      <c r="F99" s="147">
        <f t="shared" si="17"/>
        <v>0</v>
      </c>
      <c r="G99" s="147">
        <f t="shared" si="17"/>
        <v>0</v>
      </c>
      <c r="H99" s="147">
        <f t="shared" si="17"/>
        <v>0</v>
      </c>
      <c r="I99" s="147">
        <f t="shared" si="14"/>
        <v>0</v>
      </c>
      <c r="J99" s="147">
        <f t="shared" si="14"/>
        <v>0</v>
      </c>
      <c r="K99" s="147">
        <f t="shared" si="14"/>
        <v>0</v>
      </c>
      <c r="L99" s="147">
        <f t="shared" si="14"/>
        <v>0</v>
      </c>
      <c r="M99" s="147">
        <f t="shared" si="14"/>
        <v>0</v>
      </c>
      <c r="N99" s="147">
        <f t="shared" si="14"/>
        <v>0</v>
      </c>
      <c r="O99" s="147">
        <f t="shared" si="15"/>
        <v>0</v>
      </c>
      <c r="P99" s="147">
        <f t="shared" si="15"/>
        <v>0</v>
      </c>
      <c r="Q99" s="147">
        <f t="shared" si="15"/>
        <v>0</v>
      </c>
      <c r="R99" s="147">
        <f t="shared" si="15"/>
        <v>0</v>
      </c>
      <c r="S99" s="147">
        <f t="shared" si="15"/>
        <v>0</v>
      </c>
      <c r="T99" s="147">
        <f t="shared" si="15"/>
        <v>0</v>
      </c>
    </row>
    <row r="100" spans="2:20" ht="15">
      <c r="B100" s="142">
        <f t="shared" si="16"/>
        <v>2043</v>
      </c>
      <c r="C100" s="147">
        <f t="shared" si="17"/>
        <v>0</v>
      </c>
      <c r="D100" s="147">
        <f t="shared" si="17"/>
        <v>0</v>
      </c>
      <c r="E100" s="147">
        <f t="shared" si="17"/>
        <v>0</v>
      </c>
      <c r="F100" s="147">
        <f t="shared" si="17"/>
        <v>0</v>
      </c>
      <c r="G100" s="147">
        <f t="shared" si="17"/>
        <v>0</v>
      </c>
      <c r="H100" s="147">
        <f t="shared" si="17"/>
        <v>0</v>
      </c>
      <c r="I100" s="147">
        <f t="shared" si="14"/>
        <v>0</v>
      </c>
      <c r="J100" s="147">
        <f t="shared" si="14"/>
        <v>0</v>
      </c>
      <c r="K100" s="147">
        <f t="shared" si="14"/>
        <v>0</v>
      </c>
      <c r="L100" s="147">
        <f t="shared" si="14"/>
        <v>0</v>
      </c>
      <c r="M100" s="147">
        <f t="shared" si="14"/>
        <v>0</v>
      </c>
      <c r="N100" s="147">
        <f t="shared" si="14"/>
        <v>0</v>
      </c>
      <c r="O100" s="147">
        <f t="shared" si="15"/>
        <v>0</v>
      </c>
      <c r="P100" s="147">
        <f t="shared" si="15"/>
        <v>0</v>
      </c>
      <c r="Q100" s="147">
        <f t="shared" si="15"/>
        <v>0</v>
      </c>
      <c r="R100" s="147">
        <f t="shared" si="15"/>
        <v>0</v>
      </c>
      <c r="S100" s="147">
        <f t="shared" si="15"/>
        <v>0</v>
      </c>
      <c r="T100" s="147">
        <f t="shared" si="15"/>
        <v>0</v>
      </c>
    </row>
    <row r="101" spans="2:20" ht="15">
      <c r="B101" s="142">
        <f t="shared" si="16"/>
        <v>2044</v>
      </c>
      <c r="C101" s="147">
        <f t="shared" si="17"/>
        <v>0</v>
      </c>
      <c r="D101" s="147">
        <f t="shared" si="17"/>
        <v>0</v>
      </c>
      <c r="E101" s="147">
        <f t="shared" si="17"/>
        <v>0</v>
      </c>
      <c r="F101" s="147">
        <f t="shared" si="17"/>
        <v>0</v>
      </c>
      <c r="G101" s="147">
        <f t="shared" si="17"/>
        <v>0</v>
      </c>
      <c r="H101" s="147">
        <f t="shared" si="17"/>
        <v>0</v>
      </c>
      <c r="I101" s="147">
        <f t="shared" si="14"/>
        <v>0</v>
      </c>
      <c r="J101" s="147">
        <f t="shared" si="14"/>
        <v>0</v>
      </c>
      <c r="K101" s="147">
        <f t="shared" si="14"/>
        <v>0</v>
      </c>
      <c r="L101" s="147">
        <f t="shared" si="14"/>
        <v>0</v>
      </c>
      <c r="M101" s="147">
        <f t="shared" si="14"/>
        <v>0</v>
      </c>
      <c r="N101" s="147">
        <f t="shared" si="14"/>
        <v>0</v>
      </c>
      <c r="O101" s="147">
        <f t="shared" si="15"/>
        <v>0</v>
      </c>
      <c r="P101" s="147">
        <f t="shared" si="15"/>
        <v>0</v>
      </c>
      <c r="Q101" s="147">
        <f t="shared" si="15"/>
        <v>0</v>
      </c>
      <c r="R101" s="147">
        <f t="shared" si="15"/>
        <v>0</v>
      </c>
      <c r="S101" s="147">
        <f t="shared" si="15"/>
        <v>0</v>
      </c>
      <c r="T101" s="147">
        <f t="shared" si="15"/>
        <v>0</v>
      </c>
    </row>
    <row r="102" spans="2:20" ht="15">
      <c r="B102" s="142">
        <f t="shared" si="16"/>
        <v>2045</v>
      </c>
      <c r="C102" s="147">
        <f t="shared" si="17"/>
        <v>0</v>
      </c>
      <c r="D102" s="147">
        <f t="shared" si="17"/>
        <v>0</v>
      </c>
      <c r="E102" s="147">
        <f t="shared" si="17"/>
        <v>0</v>
      </c>
      <c r="F102" s="147">
        <f t="shared" si="17"/>
        <v>0</v>
      </c>
      <c r="G102" s="147">
        <f t="shared" si="17"/>
        <v>0</v>
      </c>
      <c r="H102" s="147">
        <f t="shared" si="17"/>
        <v>0</v>
      </c>
      <c r="I102" s="147">
        <f t="shared" si="14"/>
        <v>0</v>
      </c>
      <c r="J102" s="147">
        <f t="shared" si="14"/>
        <v>0</v>
      </c>
      <c r="K102" s="147">
        <f t="shared" si="14"/>
        <v>0</v>
      </c>
      <c r="L102" s="147">
        <f t="shared" si="14"/>
        <v>0</v>
      </c>
      <c r="M102" s="147">
        <f t="shared" si="14"/>
        <v>0</v>
      </c>
      <c r="N102" s="147">
        <f t="shared" si="14"/>
        <v>0</v>
      </c>
      <c r="O102" s="147">
        <f t="shared" si="15"/>
        <v>0</v>
      </c>
      <c r="P102" s="147">
        <f t="shared" si="15"/>
        <v>0</v>
      </c>
      <c r="Q102" s="147">
        <f t="shared" si="15"/>
        <v>0</v>
      </c>
      <c r="R102" s="147">
        <f t="shared" si="15"/>
        <v>0</v>
      </c>
      <c r="S102" s="147">
        <f t="shared" si="15"/>
        <v>0</v>
      </c>
      <c r="T102" s="147">
        <f t="shared" si="15"/>
        <v>0</v>
      </c>
    </row>
    <row r="103" spans="2:20" ht="15">
      <c r="B103" s="142">
        <f t="shared" si="16"/>
        <v>2046</v>
      </c>
      <c r="C103" s="147">
        <f t="shared" si="17"/>
        <v>0</v>
      </c>
      <c r="D103" s="147">
        <f t="shared" si="17"/>
        <v>0</v>
      </c>
      <c r="E103" s="147">
        <f t="shared" si="17"/>
        <v>0</v>
      </c>
      <c r="F103" s="147">
        <f t="shared" si="17"/>
        <v>0</v>
      </c>
      <c r="G103" s="147">
        <f t="shared" si="17"/>
        <v>0</v>
      </c>
      <c r="H103" s="147">
        <f t="shared" si="17"/>
        <v>0</v>
      </c>
      <c r="I103" s="147">
        <f t="shared" si="14"/>
        <v>0</v>
      </c>
      <c r="J103" s="147">
        <f t="shared" si="14"/>
        <v>0</v>
      </c>
      <c r="K103" s="147">
        <f t="shared" si="14"/>
        <v>0</v>
      </c>
      <c r="L103" s="147">
        <f t="shared" si="14"/>
        <v>0</v>
      </c>
      <c r="M103" s="147">
        <f t="shared" si="14"/>
        <v>0</v>
      </c>
      <c r="N103" s="147">
        <f t="shared" si="14"/>
        <v>0</v>
      </c>
      <c r="O103" s="147">
        <f t="shared" si="15"/>
        <v>0</v>
      </c>
      <c r="P103" s="147">
        <f t="shared" si="15"/>
        <v>0</v>
      </c>
      <c r="Q103" s="147">
        <f t="shared" si="15"/>
        <v>0</v>
      </c>
      <c r="R103" s="147">
        <f t="shared" si="15"/>
        <v>0</v>
      </c>
      <c r="S103" s="147">
        <f t="shared" si="15"/>
        <v>0</v>
      </c>
      <c r="T103" s="147">
        <f t="shared" si="15"/>
        <v>0</v>
      </c>
    </row>
    <row r="104" spans="2:20" ht="15">
      <c r="B104" s="142">
        <f t="shared" si="16"/>
        <v>2047</v>
      </c>
      <c r="C104" s="147">
        <f t="shared" si="17"/>
        <v>0</v>
      </c>
      <c r="D104" s="147">
        <f t="shared" si="17"/>
        <v>0</v>
      </c>
      <c r="E104" s="147">
        <f t="shared" si="17"/>
        <v>0</v>
      </c>
      <c r="F104" s="147">
        <f t="shared" si="17"/>
        <v>0</v>
      </c>
      <c r="G104" s="147">
        <f t="shared" si="17"/>
        <v>0</v>
      </c>
      <c r="H104" s="147">
        <f t="shared" si="17"/>
        <v>0</v>
      </c>
      <c r="I104" s="147">
        <f t="shared" si="14"/>
        <v>0</v>
      </c>
      <c r="J104" s="147">
        <f t="shared" si="14"/>
        <v>0</v>
      </c>
      <c r="K104" s="147">
        <f t="shared" si="14"/>
        <v>0</v>
      </c>
      <c r="L104" s="147">
        <f t="shared" si="14"/>
        <v>0</v>
      </c>
      <c r="M104" s="147">
        <f t="shared" si="14"/>
        <v>0</v>
      </c>
      <c r="N104" s="147">
        <f t="shared" si="14"/>
        <v>0</v>
      </c>
      <c r="O104" s="147">
        <f t="shared" si="15"/>
        <v>0</v>
      </c>
      <c r="P104" s="147">
        <f t="shared" si="15"/>
        <v>0</v>
      </c>
      <c r="Q104" s="147">
        <f t="shared" si="15"/>
        <v>0</v>
      </c>
      <c r="R104" s="147">
        <f t="shared" si="15"/>
        <v>0</v>
      </c>
      <c r="S104" s="147">
        <f t="shared" si="15"/>
        <v>0</v>
      </c>
      <c r="T104" s="147">
        <f t="shared" si="15"/>
        <v>0</v>
      </c>
    </row>
    <row r="105" spans="2:20" ht="15">
      <c r="B105" s="142">
        <f t="shared" si="16"/>
        <v>2048</v>
      </c>
      <c r="C105" s="147">
        <f t="shared" si="17"/>
        <v>0</v>
      </c>
      <c r="D105" s="147">
        <f t="shared" si="17"/>
        <v>0</v>
      </c>
      <c r="E105" s="147">
        <f t="shared" si="17"/>
        <v>0</v>
      </c>
      <c r="F105" s="147">
        <f t="shared" si="17"/>
        <v>0</v>
      </c>
      <c r="G105" s="147">
        <f t="shared" si="17"/>
        <v>0</v>
      </c>
      <c r="H105" s="147">
        <f t="shared" si="17"/>
        <v>0</v>
      </c>
      <c r="I105" s="147">
        <f t="shared" si="14"/>
        <v>0</v>
      </c>
      <c r="J105" s="147">
        <f t="shared" si="14"/>
        <v>0</v>
      </c>
      <c r="K105" s="147">
        <f t="shared" si="14"/>
        <v>0</v>
      </c>
      <c r="L105" s="147">
        <f t="shared" si="14"/>
        <v>0</v>
      </c>
      <c r="M105" s="147">
        <f t="shared" si="14"/>
        <v>0</v>
      </c>
      <c r="N105" s="147">
        <f t="shared" si="14"/>
        <v>0</v>
      </c>
      <c r="O105" s="147">
        <f t="shared" si="15"/>
        <v>0</v>
      </c>
      <c r="P105" s="147">
        <f t="shared" si="15"/>
        <v>0</v>
      </c>
      <c r="Q105" s="147">
        <f t="shared" si="15"/>
        <v>0</v>
      </c>
      <c r="R105" s="147">
        <f t="shared" si="15"/>
        <v>0</v>
      </c>
      <c r="S105" s="147">
        <f t="shared" si="15"/>
        <v>0</v>
      </c>
      <c r="T105" s="147">
        <f t="shared" si="15"/>
        <v>0</v>
      </c>
    </row>
    <row r="106" spans="2:20" ht="15">
      <c r="B106" s="142">
        <f t="shared" si="16"/>
        <v>2049</v>
      </c>
      <c r="C106" s="147">
        <f t="shared" si="17"/>
        <v>0</v>
      </c>
      <c r="D106" s="147">
        <f t="shared" si="17"/>
        <v>0</v>
      </c>
      <c r="E106" s="147">
        <f t="shared" si="17"/>
        <v>0</v>
      </c>
      <c r="F106" s="147">
        <f t="shared" si="17"/>
        <v>0</v>
      </c>
      <c r="G106" s="147">
        <f t="shared" si="17"/>
        <v>0</v>
      </c>
      <c r="H106" s="147">
        <f t="shared" si="17"/>
        <v>0</v>
      </c>
      <c r="I106" s="147">
        <f t="shared" si="14"/>
        <v>0</v>
      </c>
      <c r="J106" s="147">
        <f t="shared" si="14"/>
        <v>0</v>
      </c>
      <c r="K106" s="147">
        <f t="shared" si="14"/>
        <v>0</v>
      </c>
      <c r="L106" s="147">
        <f t="shared" si="14"/>
        <v>0</v>
      </c>
      <c r="M106" s="147">
        <f t="shared" si="14"/>
        <v>0</v>
      </c>
      <c r="N106" s="147">
        <f t="shared" si="14"/>
        <v>0</v>
      </c>
      <c r="O106" s="147">
        <f t="shared" si="15"/>
        <v>0</v>
      </c>
      <c r="P106" s="147">
        <f t="shared" si="15"/>
        <v>0</v>
      </c>
      <c r="Q106" s="147">
        <f t="shared" si="15"/>
        <v>0</v>
      </c>
      <c r="R106" s="147">
        <f t="shared" si="15"/>
        <v>0</v>
      </c>
      <c r="S106" s="147">
        <f t="shared" si="15"/>
        <v>0</v>
      </c>
      <c r="T106" s="147">
        <f t="shared" si="15"/>
        <v>0</v>
      </c>
    </row>
    <row r="107" spans="2:20" ht="15">
      <c r="B107" s="142">
        <f t="shared" si="16"/>
        <v>2050</v>
      </c>
      <c r="C107" s="147">
        <f t="shared" si="17"/>
        <v>0</v>
      </c>
      <c r="D107" s="147">
        <f t="shared" si="17"/>
        <v>0</v>
      </c>
      <c r="E107" s="147">
        <f t="shared" si="17"/>
        <v>0</v>
      </c>
      <c r="F107" s="147">
        <f t="shared" si="17"/>
        <v>0</v>
      </c>
      <c r="G107" s="147">
        <f t="shared" si="17"/>
        <v>0</v>
      </c>
      <c r="H107" s="147">
        <f t="shared" si="17"/>
        <v>0</v>
      </c>
      <c r="I107" s="147">
        <f t="shared" si="14"/>
        <v>0</v>
      </c>
      <c r="J107" s="147">
        <f t="shared" si="14"/>
        <v>0</v>
      </c>
      <c r="K107" s="147">
        <f t="shared" si="14"/>
        <v>0</v>
      </c>
      <c r="L107" s="147">
        <f t="shared" si="14"/>
        <v>0</v>
      </c>
      <c r="M107" s="147">
        <f t="shared" si="14"/>
        <v>0</v>
      </c>
      <c r="N107" s="147">
        <f t="shared" si="14"/>
        <v>0</v>
      </c>
      <c r="O107" s="147">
        <f t="shared" si="15"/>
        <v>0</v>
      </c>
      <c r="P107" s="147">
        <f t="shared" si="15"/>
        <v>0</v>
      </c>
      <c r="Q107" s="147">
        <f t="shared" si="15"/>
        <v>0</v>
      </c>
      <c r="R107" s="147">
        <f t="shared" si="15"/>
        <v>0</v>
      </c>
      <c r="S107" s="147">
        <f t="shared" si="15"/>
        <v>0</v>
      </c>
      <c r="T107" s="147">
        <f t="shared" si="15"/>
        <v>0</v>
      </c>
    </row>
    <row r="108" spans="2:20" ht="15">
      <c r="B108" s="142">
        <f t="shared" si="16"/>
        <v>2051</v>
      </c>
      <c r="C108" s="147">
        <f t="shared" si="17"/>
        <v>0</v>
      </c>
      <c r="D108" s="147">
        <f t="shared" si="17"/>
        <v>0</v>
      </c>
      <c r="E108" s="147">
        <f t="shared" si="17"/>
        <v>0</v>
      </c>
      <c r="F108" s="147">
        <f t="shared" si="17"/>
        <v>0</v>
      </c>
      <c r="G108" s="147">
        <f t="shared" si="17"/>
        <v>0</v>
      </c>
      <c r="H108" s="147">
        <f t="shared" si="17"/>
        <v>0</v>
      </c>
      <c r="I108" s="147">
        <f t="shared" si="14"/>
        <v>0</v>
      </c>
      <c r="J108" s="147">
        <f t="shared" si="14"/>
        <v>0</v>
      </c>
      <c r="K108" s="147">
        <f t="shared" si="14"/>
        <v>0</v>
      </c>
      <c r="L108" s="147">
        <f t="shared" si="14"/>
        <v>0</v>
      </c>
      <c r="M108" s="147">
        <f t="shared" si="14"/>
        <v>0</v>
      </c>
      <c r="N108" s="147">
        <f t="shared" si="14"/>
        <v>0</v>
      </c>
      <c r="O108" s="147">
        <f t="shared" si="15"/>
        <v>0</v>
      </c>
      <c r="P108" s="147">
        <f t="shared" si="15"/>
        <v>0</v>
      </c>
      <c r="Q108" s="147">
        <f t="shared" si="15"/>
        <v>0</v>
      </c>
      <c r="R108" s="147">
        <f t="shared" si="15"/>
        <v>0</v>
      </c>
      <c r="S108" s="147">
        <f t="shared" si="15"/>
        <v>0</v>
      </c>
      <c r="T108" s="147">
        <f t="shared" si="15"/>
        <v>0</v>
      </c>
    </row>
    <row r="109" spans="2:20" ht="15">
      <c r="B109" s="142">
        <f t="shared" si="16"/>
        <v>2052</v>
      </c>
      <c r="C109" s="147">
        <f t="shared" si="17"/>
        <v>0</v>
      </c>
      <c r="D109" s="147">
        <f t="shared" si="17"/>
        <v>0</v>
      </c>
      <c r="E109" s="147">
        <f t="shared" si="17"/>
        <v>0</v>
      </c>
      <c r="F109" s="147">
        <f t="shared" si="17"/>
        <v>0</v>
      </c>
      <c r="G109" s="147">
        <f t="shared" si="17"/>
        <v>0</v>
      </c>
      <c r="H109" s="147">
        <f t="shared" si="17"/>
        <v>0</v>
      </c>
      <c r="I109" s="147">
        <f t="shared" si="14"/>
        <v>0</v>
      </c>
      <c r="J109" s="147">
        <f t="shared" si="14"/>
        <v>0</v>
      </c>
      <c r="K109" s="147">
        <f t="shared" si="14"/>
        <v>0</v>
      </c>
      <c r="L109" s="147">
        <f t="shared" si="14"/>
        <v>0</v>
      </c>
      <c r="M109" s="147">
        <f t="shared" si="14"/>
        <v>0</v>
      </c>
      <c r="N109" s="147">
        <f t="shared" si="14"/>
        <v>0</v>
      </c>
      <c r="O109" s="147">
        <f t="shared" si="15"/>
        <v>0</v>
      </c>
      <c r="P109" s="147">
        <f t="shared" si="15"/>
        <v>0</v>
      </c>
      <c r="Q109" s="147">
        <f t="shared" si="15"/>
        <v>0</v>
      </c>
      <c r="R109" s="147">
        <f t="shared" si="15"/>
        <v>0</v>
      </c>
      <c r="S109" s="147">
        <f t="shared" si="15"/>
        <v>0</v>
      </c>
      <c r="T109" s="147">
        <f t="shared" si="15"/>
        <v>0</v>
      </c>
    </row>
    <row r="110" spans="2:20" ht="15">
      <c r="B110" s="142">
        <f t="shared" si="16"/>
        <v>2053</v>
      </c>
      <c r="C110" s="147">
        <f t="shared" si="17"/>
        <v>0</v>
      </c>
      <c r="D110" s="147">
        <f t="shared" si="17"/>
        <v>0</v>
      </c>
      <c r="E110" s="147">
        <f t="shared" si="17"/>
        <v>0</v>
      </c>
      <c r="F110" s="147">
        <f t="shared" si="17"/>
        <v>0</v>
      </c>
      <c r="G110" s="147">
        <f t="shared" si="17"/>
        <v>0</v>
      </c>
      <c r="H110" s="147">
        <f t="shared" si="17"/>
        <v>0</v>
      </c>
      <c r="I110" s="147">
        <f t="shared" si="14"/>
        <v>0</v>
      </c>
      <c r="J110" s="147">
        <f t="shared" si="14"/>
        <v>0</v>
      </c>
      <c r="K110" s="147">
        <f t="shared" si="14"/>
        <v>0</v>
      </c>
      <c r="L110" s="147">
        <f t="shared" si="14"/>
        <v>0</v>
      </c>
      <c r="M110" s="147">
        <f t="shared" si="14"/>
        <v>0</v>
      </c>
      <c r="N110" s="147">
        <f t="shared" si="14"/>
        <v>0</v>
      </c>
      <c r="O110" s="147">
        <f t="shared" si="15"/>
        <v>0</v>
      </c>
      <c r="P110" s="147">
        <f t="shared" si="15"/>
        <v>0</v>
      </c>
      <c r="Q110" s="147">
        <f t="shared" si="15"/>
        <v>0</v>
      </c>
      <c r="R110" s="147">
        <f t="shared" si="15"/>
        <v>0</v>
      </c>
      <c r="S110" s="147">
        <f t="shared" si="15"/>
        <v>0</v>
      </c>
      <c r="T110" s="147">
        <f t="shared" si="15"/>
        <v>0</v>
      </c>
    </row>
    <row r="111" spans="2:20" ht="15">
      <c r="B111" s="142">
        <f t="shared" si="16"/>
        <v>2054</v>
      </c>
      <c r="C111" s="147">
        <f t="shared" si="17"/>
        <v>0</v>
      </c>
      <c r="D111" s="147">
        <f t="shared" si="17"/>
        <v>0</v>
      </c>
      <c r="E111" s="147">
        <f t="shared" si="17"/>
        <v>0</v>
      </c>
      <c r="F111" s="147">
        <f t="shared" si="17"/>
        <v>0</v>
      </c>
      <c r="G111" s="147">
        <f t="shared" si="17"/>
        <v>0</v>
      </c>
      <c r="H111" s="147">
        <f t="shared" si="17"/>
        <v>0</v>
      </c>
      <c r="I111" s="147">
        <f t="shared" si="14"/>
        <v>0</v>
      </c>
      <c r="J111" s="147">
        <f t="shared" si="14"/>
        <v>0</v>
      </c>
      <c r="K111" s="147">
        <f t="shared" si="14"/>
        <v>0</v>
      </c>
      <c r="L111" s="147">
        <f t="shared" si="14"/>
        <v>0</v>
      </c>
      <c r="M111" s="147">
        <f t="shared" si="14"/>
        <v>0</v>
      </c>
      <c r="N111" s="147">
        <f t="shared" si="14"/>
        <v>0</v>
      </c>
      <c r="O111" s="147">
        <f t="shared" si="15"/>
        <v>0</v>
      </c>
      <c r="P111" s="147">
        <f t="shared" si="15"/>
        <v>0</v>
      </c>
      <c r="Q111" s="147">
        <f t="shared" si="15"/>
        <v>0</v>
      </c>
      <c r="R111" s="147">
        <f t="shared" si="15"/>
        <v>0</v>
      </c>
      <c r="S111" s="147">
        <f t="shared" si="15"/>
        <v>0</v>
      </c>
      <c r="T111" s="147">
        <f t="shared" si="15"/>
        <v>0</v>
      </c>
    </row>
    <row r="112" spans="2:20" ht="15">
      <c r="B112" s="142">
        <f t="shared" si="16"/>
        <v>2055</v>
      </c>
      <c r="C112" s="147">
        <f t="shared" ref="C112:H127" si="18">+IF($B112="","",(C$3*C$6)*(1+$K$4)^($B112-$B$80))</f>
        <v>0</v>
      </c>
      <c r="D112" s="147">
        <f t="shared" si="18"/>
        <v>0</v>
      </c>
      <c r="E112" s="147">
        <f t="shared" si="18"/>
        <v>0</v>
      </c>
      <c r="F112" s="147">
        <f t="shared" si="18"/>
        <v>0</v>
      </c>
      <c r="G112" s="147">
        <f t="shared" si="18"/>
        <v>0</v>
      </c>
      <c r="H112" s="147">
        <f t="shared" si="18"/>
        <v>0</v>
      </c>
      <c r="I112" s="147">
        <f t="shared" ref="I112:N139" si="19">+IF($B112="","",(C$3*C$7)*(1+$K$5)^($B112-$B$80))</f>
        <v>0</v>
      </c>
      <c r="J112" s="147">
        <f t="shared" si="19"/>
        <v>0</v>
      </c>
      <c r="K112" s="147">
        <f t="shared" si="19"/>
        <v>0</v>
      </c>
      <c r="L112" s="147">
        <f t="shared" si="19"/>
        <v>0</v>
      </c>
      <c r="M112" s="147">
        <f t="shared" si="19"/>
        <v>0</v>
      </c>
      <c r="N112" s="147">
        <f t="shared" si="19"/>
        <v>0</v>
      </c>
      <c r="O112" s="147">
        <f t="shared" ref="O112:T139" si="20">+IF($B112="","",(C$3*C$8)*(1+$K$6)^($B112-$B$80))</f>
        <v>0</v>
      </c>
      <c r="P112" s="147">
        <f t="shared" si="20"/>
        <v>0</v>
      </c>
      <c r="Q112" s="147">
        <f t="shared" si="20"/>
        <v>0</v>
      </c>
      <c r="R112" s="147">
        <f t="shared" si="20"/>
        <v>0</v>
      </c>
      <c r="S112" s="147">
        <f t="shared" si="20"/>
        <v>0</v>
      </c>
      <c r="T112" s="147">
        <f t="shared" si="20"/>
        <v>0</v>
      </c>
    </row>
    <row r="113" spans="2:20" ht="15">
      <c r="B113" s="142">
        <f t="shared" si="16"/>
        <v>2056</v>
      </c>
      <c r="C113" s="147">
        <f t="shared" si="18"/>
        <v>0</v>
      </c>
      <c r="D113" s="147">
        <f t="shared" si="18"/>
        <v>0</v>
      </c>
      <c r="E113" s="147">
        <f t="shared" si="18"/>
        <v>0</v>
      </c>
      <c r="F113" s="147">
        <f t="shared" si="18"/>
        <v>0</v>
      </c>
      <c r="G113" s="147">
        <f t="shared" si="18"/>
        <v>0</v>
      </c>
      <c r="H113" s="147">
        <f t="shared" si="18"/>
        <v>0</v>
      </c>
      <c r="I113" s="147">
        <f t="shared" si="19"/>
        <v>0</v>
      </c>
      <c r="J113" s="147">
        <f t="shared" si="19"/>
        <v>0</v>
      </c>
      <c r="K113" s="147">
        <f t="shared" si="19"/>
        <v>0</v>
      </c>
      <c r="L113" s="147">
        <f t="shared" si="19"/>
        <v>0</v>
      </c>
      <c r="M113" s="147">
        <f t="shared" si="19"/>
        <v>0</v>
      </c>
      <c r="N113" s="147">
        <f t="shared" si="19"/>
        <v>0</v>
      </c>
      <c r="O113" s="147">
        <f t="shared" si="20"/>
        <v>0</v>
      </c>
      <c r="P113" s="147">
        <f t="shared" si="20"/>
        <v>0</v>
      </c>
      <c r="Q113" s="147">
        <f t="shared" si="20"/>
        <v>0</v>
      </c>
      <c r="R113" s="147">
        <f t="shared" si="20"/>
        <v>0</v>
      </c>
      <c r="S113" s="147">
        <f t="shared" si="20"/>
        <v>0</v>
      </c>
      <c r="T113" s="147">
        <f t="shared" si="20"/>
        <v>0</v>
      </c>
    </row>
    <row r="114" spans="2:20" ht="15">
      <c r="B114" s="142">
        <f t="shared" si="16"/>
        <v>2057</v>
      </c>
      <c r="C114" s="147">
        <f t="shared" si="18"/>
        <v>0</v>
      </c>
      <c r="D114" s="147">
        <f t="shared" si="18"/>
        <v>0</v>
      </c>
      <c r="E114" s="147">
        <f t="shared" si="18"/>
        <v>0</v>
      </c>
      <c r="F114" s="147">
        <f t="shared" si="18"/>
        <v>0</v>
      </c>
      <c r="G114" s="147">
        <f t="shared" si="18"/>
        <v>0</v>
      </c>
      <c r="H114" s="147">
        <f t="shared" si="18"/>
        <v>0</v>
      </c>
      <c r="I114" s="147">
        <f t="shared" si="19"/>
        <v>0</v>
      </c>
      <c r="J114" s="147">
        <f t="shared" si="19"/>
        <v>0</v>
      </c>
      <c r="K114" s="147">
        <f t="shared" si="19"/>
        <v>0</v>
      </c>
      <c r="L114" s="147">
        <f t="shared" si="19"/>
        <v>0</v>
      </c>
      <c r="M114" s="147">
        <f t="shared" si="19"/>
        <v>0</v>
      </c>
      <c r="N114" s="147">
        <f t="shared" si="19"/>
        <v>0</v>
      </c>
      <c r="O114" s="147">
        <f t="shared" si="20"/>
        <v>0</v>
      </c>
      <c r="P114" s="147">
        <f t="shared" si="20"/>
        <v>0</v>
      </c>
      <c r="Q114" s="147">
        <f t="shared" si="20"/>
        <v>0</v>
      </c>
      <c r="R114" s="147">
        <f t="shared" si="20"/>
        <v>0</v>
      </c>
      <c r="S114" s="147">
        <f t="shared" si="20"/>
        <v>0</v>
      </c>
      <c r="T114" s="147">
        <f t="shared" si="20"/>
        <v>0</v>
      </c>
    </row>
    <row r="115" spans="2:20" ht="15">
      <c r="B115" s="142">
        <f t="shared" si="16"/>
        <v>2058</v>
      </c>
      <c r="C115" s="147">
        <f t="shared" si="18"/>
        <v>0</v>
      </c>
      <c r="D115" s="147">
        <f t="shared" si="18"/>
        <v>0</v>
      </c>
      <c r="E115" s="147">
        <f t="shared" si="18"/>
        <v>0</v>
      </c>
      <c r="F115" s="147">
        <f t="shared" si="18"/>
        <v>0</v>
      </c>
      <c r="G115" s="147">
        <f t="shared" si="18"/>
        <v>0</v>
      </c>
      <c r="H115" s="147">
        <f t="shared" si="18"/>
        <v>0</v>
      </c>
      <c r="I115" s="147">
        <f t="shared" si="19"/>
        <v>0</v>
      </c>
      <c r="J115" s="147">
        <f t="shared" si="19"/>
        <v>0</v>
      </c>
      <c r="K115" s="147">
        <f t="shared" si="19"/>
        <v>0</v>
      </c>
      <c r="L115" s="147">
        <f t="shared" si="19"/>
        <v>0</v>
      </c>
      <c r="M115" s="147">
        <f t="shared" si="19"/>
        <v>0</v>
      </c>
      <c r="N115" s="147">
        <f t="shared" si="19"/>
        <v>0</v>
      </c>
      <c r="O115" s="147">
        <f t="shared" si="20"/>
        <v>0</v>
      </c>
      <c r="P115" s="147">
        <f t="shared" si="20"/>
        <v>0</v>
      </c>
      <c r="Q115" s="147">
        <f t="shared" si="20"/>
        <v>0</v>
      </c>
      <c r="R115" s="147">
        <f t="shared" si="20"/>
        <v>0</v>
      </c>
      <c r="S115" s="147">
        <f t="shared" si="20"/>
        <v>0</v>
      </c>
      <c r="T115" s="147">
        <f t="shared" si="20"/>
        <v>0</v>
      </c>
    </row>
    <row r="116" spans="2:20" ht="15">
      <c r="B116" s="142">
        <f t="shared" si="16"/>
        <v>2059</v>
      </c>
      <c r="C116" s="147">
        <f t="shared" si="18"/>
        <v>0</v>
      </c>
      <c r="D116" s="147">
        <f t="shared" si="18"/>
        <v>0</v>
      </c>
      <c r="E116" s="147">
        <f t="shared" si="18"/>
        <v>0</v>
      </c>
      <c r="F116" s="147">
        <f t="shared" si="18"/>
        <v>0</v>
      </c>
      <c r="G116" s="147">
        <f t="shared" si="18"/>
        <v>0</v>
      </c>
      <c r="H116" s="147">
        <f t="shared" si="18"/>
        <v>0</v>
      </c>
      <c r="I116" s="147">
        <f t="shared" si="19"/>
        <v>0</v>
      </c>
      <c r="J116" s="147">
        <f t="shared" si="19"/>
        <v>0</v>
      </c>
      <c r="K116" s="147">
        <f t="shared" si="19"/>
        <v>0</v>
      </c>
      <c r="L116" s="147">
        <f t="shared" si="19"/>
        <v>0</v>
      </c>
      <c r="M116" s="147">
        <f t="shared" si="19"/>
        <v>0</v>
      </c>
      <c r="N116" s="147">
        <f t="shared" si="19"/>
        <v>0</v>
      </c>
      <c r="O116" s="147">
        <f t="shared" si="20"/>
        <v>0</v>
      </c>
      <c r="P116" s="147">
        <f t="shared" si="20"/>
        <v>0</v>
      </c>
      <c r="Q116" s="147">
        <f t="shared" si="20"/>
        <v>0</v>
      </c>
      <c r="R116" s="147">
        <f t="shared" si="20"/>
        <v>0</v>
      </c>
      <c r="S116" s="147">
        <f t="shared" si="20"/>
        <v>0</v>
      </c>
      <c r="T116" s="147">
        <f t="shared" si="20"/>
        <v>0</v>
      </c>
    </row>
    <row r="117" spans="2:20" ht="15">
      <c r="B117" s="142">
        <f t="shared" si="16"/>
        <v>2060</v>
      </c>
      <c r="C117" s="147">
        <f t="shared" si="18"/>
        <v>0</v>
      </c>
      <c r="D117" s="147">
        <f t="shared" si="18"/>
        <v>0</v>
      </c>
      <c r="E117" s="147">
        <f t="shared" si="18"/>
        <v>0</v>
      </c>
      <c r="F117" s="147">
        <f t="shared" si="18"/>
        <v>0</v>
      </c>
      <c r="G117" s="147">
        <f t="shared" si="18"/>
        <v>0</v>
      </c>
      <c r="H117" s="147">
        <f t="shared" si="18"/>
        <v>0</v>
      </c>
      <c r="I117" s="147">
        <f t="shared" si="19"/>
        <v>0</v>
      </c>
      <c r="J117" s="147">
        <f t="shared" si="19"/>
        <v>0</v>
      </c>
      <c r="K117" s="147">
        <f t="shared" si="19"/>
        <v>0</v>
      </c>
      <c r="L117" s="147">
        <f t="shared" si="19"/>
        <v>0</v>
      </c>
      <c r="M117" s="147">
        <f t="shared" si="19"/>
        <v>0</v>
      </c>
      <c r="N117" s="147">
        <f t="shared" si="19"/>
        <v>0</v>
      </c>
      <c r="O117" s="147">
        <f t="shared" si="20"/>
        <v>0</v>
      </c>
      <c r="P117" s="147">
        <f t="shared" si="20"/>
        <v>0</v>
      </c>
      <c r="Q117" s="147">
        <f t="shared" si="20"/>
        <v>0</v>
      </c>
      <c r="R117" s="147">
        <f t="shared" si="20"/>
        <v>0</v>
      </c>
      <c r="S117" s="147">
        <f t="shared" si="20"/>
        <v>0</v>
      </c>
      <c r="T117" s="147">
        <f t="shared" si="20"/>
        <v>0</v>
      </c>
    </row>
    <row r="118" spans="2:20" ht="15">
      <c r="B118" s="142">
        <f t="shared" si="16"/>
        <v>2061</v>
      </c>
      <c r="C118" s="147">
        <f t="shared" si="18"/>
        <v>0</v>
      </c>
      <c r="D118" s="147">
        <f t="shared" si="18"/>
        <v>0</v>
      </c>
      <c r="E118" s="147">
        <f t="shared" si="18"/>
        <v>0</v>
      </c>
      <c r="F118" s="147">
        <f t="shared" si="18"/>
        <v>0</v>
      </c>
      <c r="G118" s="147">
        <f t="shared" si="18"/>
        <v>0</v>
      </c>
      <c r="H118" s="147">
        <f t="shared" si="18"/>
        <v>0</v>
      </c>
      <c r="I118" s="147">
        <f t="shared" si="19"/>
        <v>0</v>
      </c>
      <c r="J118" s="147">
        <f t="shared" si="19"/>
        <v>0</v>
      </c>
      <c r="K118" s="147">
        <f t="shared" si="19"/>
        <v>0</v>
      </c>
      <c r="L118" s="147">
        <f t="shared" si="19"/>
        <v>0</v>
      </c>
      <c r="M118" s="147">
        <f t="shared" si="19"/>
        <v>0</v>
      </c>
      <c r="N118" s="147">
        <f t="shared" si="19"/>
        <v>0</v>
      </c>
      <c r="O118" s="147">
        <f t="shared" si="20"/>
        <v>0</v>
      </c>
      <c r="P118" s="147">
        <f t="shared" si="20"/>
        <v>0</v>
      </c>
      <c r="Q118" s="147">
        <f t="shared" si="20"/>
        <v>0</v>
      </c>
      <c r="R118" s="147">
        <f t="shared" si="20"/>
        <v>0</v>
      </c>
      <c r="S118" s="147">
        <f t="shared" si="20"/>
        <v>0</v>
      </c>
      <c r="T118" s="147">
        <f t="shared" si="20"/>
        <v>0</v>
      </c>
    </row>
    <row r="119" spans="2:20" ht="15">
      <c r="B119" s="142">
        <f t="shared" si="16"/>
        <v>2062</v>
      </c>
      <c r="C119" s="147">
        <f t="shared" si="18"/>
        <v>0</v>
      </c>
      <c r="D119" s="147">
        <f t="shared" si="18"/>
        <v>0</v>
      </c>
      <c r="E119" s="147">
        <f t="shared" si="18"/>
        <v>0</v>
      </c>
      <c r="F119" s="147">
        <f t="shared" si="18"/>
        <v>0</v>
      </c>
      <c r="G119" s="147">
        <f t="shared" si="18"/>
        <v>0</v>
      </c>
      <c r="H119" s="147">
        <f t="shared" si="18"/>
        <v>0</v>
      </c>
      <c r="I119" s="147">
        <f t="shared" si="19"/>
        <v>0</v>
      </c>
      <c r="J119" s="147">
        <f t="shared" si="19"/>
        <v>0</v>
      </c>
      <c r="K119" s="147">
        <f t="shared" si="19"/>
        <v>0</v>
      </c>
      <c r="L119" s="147">
        <f t="shared" si="19"/>
        <v>0</v>
      </c>
      <c r="M119" s="147">
        <f t="shared" si="19"/>
        <v>0</v>
      </c>
      <c r="N119" s="147">
        <f t="shared" si="19"/>
        <v>0</v>
      </c>
      <c r="O119" s="147">
        <f t="shared" si="20"/>
        <v>0</v>
      </c>
      <c r="P119" s="147">
        <f t="shared" si="20"/>
        <v>0</v>
      </c>
      <c r="Q119" s="147">
        <f t="shared" si="20"/>
        <v>0</v>
      </c>
      <c r="R119" s="147">
        <f t="shared" si="20"/>
        <v>0</v>
      </c>
      <c r="S119" s="147">
        <f t="shared" si="20"/>
        <v>0</v>
      </c>
      <c r="T119" s="147">
        <f t="shared" si="20"/>
        <v>0</v>
      </c>
    </row>
    <row r="120" spans="2:20" ht="15">
      <c r="B120" s="142">
        <f t="shared" si="16"/>
        <v>2063</v>
      </c>
      <c r="C120" s="147">
        <f t="shared" si="18"/>
        <v>0</v>
      </c>
      <c r="D120" s="147">
        <f t="shared" si="18"/>
        <v>0</v>
      </c>
      <c r="E120" s="147">
        <f t="shared" si="18"/>
        <v>0</v>
      </c>
      <c r="F120" s="147">
        <f t="shared" si="18"/>
        <v>0</v>
      </c>
      <c r="G120" s="147">
        <f t="shared" si="18"/>
        <v>0</v>
      </c>
      <c r="H120" s="147">
        <f t="shared" si="18"/>
        <v>0</v>
      </c>
      <c r="I120" s="147">
        <f t="shared" si="19"/>
        <v>0</v>
      </c>
      <c r="J120" s="147">
        <f t="shared" si="19"/>
        <v>0</v>
      </c>
      <c r="K120" s="147">
        <f t="shared" si="19"/>
        <v>0</v>
      </c>
      <c r="L120" s="147">
        <f t="shared" si="19"/>
        <v>0</v>
      </c>
      <c r="M120" s="147">
        <f t="shared" si="19"/>
        <v>0</v>
      </c>
      <c r="N120" s="147">
        <f t="shared" si="19"/>
        <v>0</v>
      </c>
      <c r="O120" s="147">
        <f t="shared" si="20"/>
        <v>0</v>
      </c>
      <c r="P120" s="147">
        <f t="shared" si="20"/>
        <v>0</v>
      </c>
      <c r="Q120" s="147">
        <f t="shared" si="20"/>
        <v>0</v>
      </c>
      <c r="R120" s="147">
        <f t="shared" si="20"/>
        <v>0</v>
      </c>
      <c r="S120" s="147">
        <f t="shared" si="20"/>
        <v>0</v>
      </c>
      <c r="T120" s="147">
        <f t="shared" si="20"/>
        <v>0</v>
      </c>
    </row>
    <row r="121" spans="2:20" ht="15">
      <c r="B121" s="142">
        <f t="shared" si="16"/>
        <v>2064</v>
      </c>
      <c r="C121" s="147">
        <f t="shared" si="18"/>
        <v>0</v>
      </c>
      <c r="D121" s="147">
        <f t="shared" si="18"/>
        <v>0</v>
      </c>
      <c r="E121" s="147">
        <f t="shared" si="18"/>
        <v>0</v>
      </c>
      <c r="F121" s="147">
        <f t="shared" si="18"/>
        <v>0</v>
      </c>
      <c r="G121" s="147">
        <f t="shared" si="18"/>
        <v>0</v>
      </c>
      <c r="H121" s="147">
        <f t="shared" si="18"/>
        <v>0</v>
      </c>
      <c r="I121" s="147">
        <f t="shared" si="19"/>
        <v>0</v>
      </c>
      <c r="J121" s="147">
        <f t="shared" si="19"/>
        <v>0</v>
      </c>
      <c r="K121" s="147">
        <f t="shared" si="19"/>
        <v>0</v>
      </c>
      <c r="L121" s="147">
        <f t="shared" si="19"/>
        <v>0</v>
      </c>
      <c r="M121" s="147">
        <f t="shared" si="19"/>
        <v>0</v>
      </c>
      <c r="N121" s="147">
        <f t="shared" si="19"/>
        <v>0</v>
      </c>
      <c r="O121" s="147">
        <f t="shared" si="20"/>
        <v>0</v>
      </c>
      <c r="P121" s="147">
        <f t="shared" si="20"/>
        <v>0</v>
      </c>
      <c r="Q121" s="147">
        <f t="shared" si="20"/>
        <v>0</v>
      </c>
      <c r="R121" s="147">
        <f t="shared" si="20"/>
        <v>0</v>
      </c>
      <c r="S121" s="147">
        <f t="shared" si="20"/>
        <v>0</v>
      </c>
      <c r="T121" s="147">
        <f t="shared" si="20"/>
        <v>0</v>
      </c>
    </row>
    <row r="122" spans="2:20" ht="15">
      <c r="B122" s="142">
        <f t="shared" si="16"/>
        <v>2065</v>
      </c>
      <c r="C122" s="147">
        <f t="shared" si="18"/>
        <v>0</v>
      </c>
      <c r="D122" s="147">
        <f t="shared" si="18"/>
        <v>0</v>
      </c>
      <c r="E122" s="147">
        <f t="shared" si="18"/>
        <v>0</v>
      </c>
      <c r="F122" s="147">
        <f t="shared" si="18"/>
        <v>0</v>
      </c>
      <c r="G122" s="147">
        <f t="shared" si="18"/>
        <v>0</v>
      </c>
      <c r="H122" s="147">
        <f t="shared" si="18"/>
        <v>0</v>
      </c>
      <c r="I122" s="147">
        <f t="shared" si="19"/>
        <v>0</v>
      </c>
      <c r="J122" s="147">
        <f t="shared" si="19"/>
        <v>0</v>
      </c>
      <c r="K122" s="147">
        <f t="shared" si="19"/>
        <v>0</v>
      </c>
      <c r="L122" s="147">
        <f t="shared" si="19"/>
        <v>0</v>
      </c>
      <c r="M122" s="147">
        <f t="shared" si="19"/>
        <v>0</v>
      </c>
      <c r="N122" s="147">
        <f t="shared" si="19"/>
        <v>0</v>
      </c>
      <c r="O122" s="147">
        <f t="shared" si="20"/>
        <v>0</v>
      </c>
      <c r="P122" s="147">
        <f t="shared" si="20"/>
        <v>0</v>
      </c>
      <c r="Q122" s="147">
        <f t="shared" si="20"/>
        <v>0</v>
      </c>
      <c r="R122" s="147">
        <f t="shared" si="20"/>
        <v>0</v>
      </c>
      <c r="S122" s="147">
        <f t="shared" si="20"/>
        <v>0</v>
      </c>
      <c r="T122" s="147">
        <f t="shared" si="20"/>
        <v>0</v>
      </c>
    </row>
    <row r="123" spans="2:20" ht="15">
      <c r="B123" s="142">
        <f t="shared" si="16"/>
        <v>2066</v>
      </c>
      <c r="C123" s="147">
        <f t="shared" si="18"/>
        <v>0</v>
      </c>
      <c r="D123" s="147">
        <f t="shared" si="18"/>
        <v>0</v>
      </c>
      <c r="E123" s="147">
        <f t="shared" si="18"/>
        <v>0</v>
      </c>
      <c r="F123" s="147">
        <f t="shared" si="18"/>
        <v>0</v>
      </c>
      <c r="G123" s="147">
        <f t="shared" si="18"/>
        <v>0</v>
      </c>
      <c r="H123" s="147">
        <f t="shared" si="18"/>
        <v>0</v>
      </c>
      <c r="I123" s="147">
        <f t="shared" si="19"/>
        <v>0</v>
      </c>
      <c r="J123" s="147">
        <f t="shared" si="19"/>
        <v>0</v>
      </c>
      <c r="K123" s="147">
        <f t="shared" si="19"/>
        <v>0</v>
      </c>
      <c r="L123" s="147">
        <f t="shared" si="19"/>
        <v>0</v>
      </c>
      <c r="M123" s="147">
        <f t="shared" si="19"/>
        <v>0</v>
      </c>
      <c r="N123" s="147">
        <f t="shared" si="19"/>
        <v>0</v>
      </c>
      <c r="O123" s="147">
        <f t="shared" si="20"/>
        <v>0</v>
      </c>
      <c r="P123" s="147">
        <f t="shared" si="20"/>
        <v>0</v>
      </c>
      <c r="Q123" s="147">
        <f t="shared" si="20"/>
        <v>0</v>
      </c>
      <c r="R123" s="147">
        <f t="shared" si="20"/>
        <v>0</v>
      </c>
      <c r="S123" s="147">
        <f t="shared" si="20"/>
        <v>0</v>
      </c>
      <c r="T123" s="147">
        <f t="shared" si="20"/>
        <v>0</v>
      </c>
    </row>
    <row r="124" spans="2:20" ht="15">
      <c r="B124" s="142">
        <f t="shared" si="16"/>
        <v>2067</v>
      </c>
      <c r="C124" s="147">
        <f t="shared" si="18"/>
        <v>0</v>
      </c>
      <c r="D124" s="147">
        <f t="shared" si="18"/>
        <v>0</v>
      </c>
      <c r="E124" s="147">
        <f t="shared" si="18"/>
        <v>0</v>
      </c>
      <c r="F124" s="147">
        <f t="shared" si="18"/>
        <v>0</v>
      </c>
      <c r="G124" s="147">
        <f t="shared" si="18"/>
        <v>0</v>
      </c>
      <c r="H124" s="147">
        <f t="shared" si="18"/>
        <v>0</v>
      </c>
      <c r="I124" s="147">
        <f t="shared" si="19"/>
        <v>0</v>
      </c>
      <c r="J124" s="147">
        <f t="shared" si="19"/>
        <v>0</v>
      </c>
      <c r="K124" s="147">
        <f t="shared" si="19"/>
        <v>0</v>
      </c>
      <c r="L124" s="147">
        <f t="shared" si="19"/>
        <v>0</v>
      </c>
      <c r="M124" s="147">
        <f t="shared" si="19"/>
        <v>0</v>
      </c>
      <c r="N124" s="147">
        <f t="shared" si="19"/>
        <v>0</v>
      </c>
      <c r="O124" s="147">
        <f t="shared" si="20"/>
        <v>0</v>
      </c>
      <c r="P124" s="147">
        <f t="shared" si="20"/>
        <v>0</v>
      </c>
      <c r="Q124" s="147">
        <f t="shared" si="20"/>
        <v>0</v>
      </c>
      <c r="R124" s="147">
        <f t="shared" si="20"/>
        <v>0</v>
      </c>
      <c r="S124" s="147">
        <f t="shared" si="20"/>
        <v>0</v>
      </c>
      <c r="T124" s="147">
        <f t="shared" si="20"/>
        <v>0</v>
      </c>
    </row>
    <row r="125" spans="2:20" ht="15">
      <c r="B125" s="142">
        <f t="shared" si="16"/>
        <v>2068</v>
      </c>
      <c r="C125" s="147">
        <f t="shared" si="18"/>
        <v>0</v>
      </c>
      <c r="D125" s="147">
        <f t="shared" si="18"/>
        <v>0</v>
      </c>
      <c r="E125" s="147">
        <f t="shared" si="18"/>
        <v>0</v>
      </c>
      <c r="F125" s="147">
        <f t="shared" si="18"/>
        <v>0</v>
      </c>
      <c r="G125" s="147">
        <f t="shared" si="18"/>
        <v>0</v>
      </c>
      <c r="H125" s="147">
        <f t="shared" si="18"/>
        <v>0</v>
      </c>
      <c r="I125" s="147">
        <f t="shared" si="19"/>
        <v>0</v>
      </c>
      <c r="J125" s="147">
        <f t="shared" si="19"/>
        <v>0</v>
      </c>
      <c r="K125" s="147">
        <f t="shared" si="19"/>
        <v>0</v>
      </c>
      <c r="L125" s="147">
        <f t="shared" si="19"/>
        <v>0</v>
      </c>
      <c r="M125" s="147">
        <f t="shared" si="19"/>
        <v>0</v>
      </c>
      <c r="N125" s="147">
        <f t="shared" si="19"/>
        <v>0</v>
      </c>
      <c r="O125" s="147">
        <f t="shared" si="20"/>
        <v>0</v>
      </c>
      <c r="P125" s="147">
        <f t="shared" si="20"/>
        <v>0</v>
      </c>
      <c r="Q125" s="147">
        <f t="shared" si="20"/>
        <v>0</v>
      </c>
      <c r="R125" s="147">
        <f t="shared" si="20"/>
        <v>0</v>
      </c>
      <c r="S125" s="147">
        <f t="shared" si="20"/>
        <v>0</v>
      </c>
      <c r="T125" s="147">
        <f t="shared" si="20"/>
        <v>0</v>
      </c>
    </row>
    <row r="126" spans="2:20" ht="15">
      <c r="B126" s="142">
        <f t="shared" si="16"/>
        <v>2069</v>
      </c>
      <c r="C126" s="147">
        <f t="shared" si="18"/>
        <v>0</v>
      </c>
      <c r="D126" s="147">
        <f t="shared" si="18"/>
        <v>0</v>
      </c>
      <c r="E126" s="147">
        <f t="shared" si="18"/>
        <v>0</v>
      </c>
      <c r="F126" s="147">
        <f t="shared" si="18"/>
        <v>0</v>
      </c>
      <c r="G126" s="147">
        <f t="shared" si="18"/>
        <v>0</v>
      </c>
      <c r="H126" s="147">
        <f t="shared" si="18"/>
        <v>0</v>
      </c>
      <c r="I126" s="147">
        <f t="shared" si="19"/>
        <v>0</v>
      </c>
      <c r="J126" s="147">
        <f t="shared" si="19"/>
        <v>0</v>
      </c>
      <c r="K126" s="147">
        <f t="shared" si="19"/>
        <v>0</v>
      </c>
      <c r="L126" s="147">
        <f t="shared" si="19"/>
        <v>0</v>
      </c>
      <c r="M126" s="147">
        <f t="shared" si="19"/>
        <v>0</v>
      </c>
      <c r="N126" s="147">
        <f t="shared" si="19"/>
        <v>0</v>
      </c>
      <c r="O126" s="147">
        <f t="shared" si="20"/>
        <v>0</v>
      </c>
      <c r="P126" s="147">
        <f t="shared" si="20"/>
        <v>0</v>
      </c>
      <c r="Q126" s="147">
        <f t="shared" si="20"/>
        <v>0</v>
      </c>
      <c r="R126" s="147">
        <f t="shared" si="20"/>
        <v>0</v>
      </c>
      <c r="S126" s="147">
        <f t="shared" si="20"/>
        <v>0</v>
      </c>
      <c r="T126" s="147">
        <f t="shared" si="20"/>
        <v>0</v>
      </c>
    </row>
    <row r="127" spans="2:20" ht="15">
      <c r="B127" s="142">
        <f t="shared" si="16"/>
        <v>2070</v>
      </c>
      <c r="C127" s="147">
        <f t="shared" si="18"/>
        <v>0</v>
      </c>
      <c r="D127" s="147">
        <f t="shared" si="18"/>
        <v>0</v>
      </c>
      <c r="E127" s="147">
        <f t="shared" si="18"/>
        <v>0</v>
      </c>
      <c r="F127" s="147">
        <f t="shared" si="18"/>
        <v>0</v>
      </c>
      <c r="G127" s="147">
        <f t="shared" si="18"/>
        <v>0</v>
      </c>
      <c r="H127" s="147">
        <f t="shared" si="18"/>
        <v>0</v>
      </c>
      <c r="I127" s="147">
        <f t="shared" si="19"/>
        <v>0</v>
      </c>
      <c r="J127" s="147">
        <f t="shared" si="19"/>
        <v>0</v>
      </c>
      <c r="K127" s="147">
        <f t="shared" si="19"/>
        <v>0</v>
      </c>
      <c r="L127" s="147">
        <f t="shared" si="19"/>
        <v>0</v>
      </c>
      <c r="M127" s="147">
        <f t="shared" si="19"/>
        <v>0</v>
      </c>
      <c r="N127" s="147">
        <f t="shared" si="19"/>
        <v>0</v>
      </c>
      <c r="O127" s="147">
        <f t="shared" si="20"/>
        <v>0</v>
      </c>
      <c r="P127" s="147">
        <f t="shared" si="20"/>
        <v>0</v>
      </c>
      <c r="Q127" s="147">
        <f t="shared" si="20"/>
        <v>0</v>
      </c>
      <c r="R127" s="147">
        <f t="shared" si="20"/>
        <v>0</v>
      </c>
      <c r="S127" s="147">
        <f t="shared" si="20"/>
        <v>0</v>
      </c>
      <c r="T127" s="147">
        <f t="shared" si="20"/>
        <v>0</v>
      </c>
    </row>
    <row r="128" spans="2:20" ht="15">
      <c r="B128" s="142">
        <f t="shared" si="16"/>
        <v>2071</v>
      </c>
      <c r="C128" s="147">
        <f t="shared" ref="C128:H139" si="21">+IF($B128="","",(C$3*C$6)*(1+$K$4)^($B128-$B$80))</f>
        <v>0</v>
      </c>
      <c r="D128" s="147">
        <f t="shared" si="21"/>
        <v>0</v>
      </c>
      <c r="E128" s="147">
        <f t="shared" si="21"/>
        <v>0</v>
      </c>
      <c r="F128" s="147">
        <f t="shared" si="21"/>
        <v>0</v>
      </c>
      <c r="G128" s="147">
        <f t="shared" si="21"/>
        <v>0</v>
      </c>
      <c r="H128" s="147">
        <f t="shared" si="21"/>
        <v>0</v>
      </c>
      <c r="I128" s="147">
        <f t="shared" si="19"/>
        <v>0</v>
      </c>
      <c r="J128" s="147">
        <f t="shared" si="19"/>
        <v>0</v>
      </c>
      <c r="K128" s="147">
        <f t="shared" si="19"/>
        <v>0</v>
      </c>
      <c r="L128" s="147">
        <f t="shared" si="19"/>
        <v>0</v>
      </c>
      <c r="M128" s="147">
        <f t="shared" si="19"/>
        <v>0</v>
      </c>
      <c r="N128" s="147">
        <f t="shared" si="19"/>
        <v>0</v>
      </c>
      <c r="O128" s="147">
        <f t="shared" si="20"/>
        <v>0</v>
      </c>
      <c r="P128" s="147">
        <f t="shared" si="20"/>
        <v>0</v>
      </c>
      <c r="Q128" s="147">
        <f t="shared" si="20"/>
        <v>0</v>
      </c>
      <c r="R128" s="147">
        <f t="shared" si="20"/>
        <v>0</v>
      </c>
      <c r="S128" s="147">
        <f t="shared" si="20"/>
        <v>0</v>
      </c>
      <c r="T128" s="147">
        <f t="shared" si="20"/>
        <v>0</v>
      </c>
    </row>
    <row r="129" spans="2:20" ht="15">
      <c r="B129" s="142">
        <f t="shared" si="16"/>
        <v>2072</v>
      </c>
      <c r="C129" s="147">
        <f t="shared" si="21"/>
        <v>0</v>
      </c>
      <c r="D129" s="147">
        <f t="shared" si="21"/>
        <v>0</v>
      </c>
      <c r="E129" s="147">
        <f t="shared" si="21"/>
        <v>0</v>
      </c>
      <c r="F129" s="147">
        <f t="shared" si="21"/>
        <v>0</v>
      </c>
      <c r="G129" s="147">
        <f t="shared" si="21"/>
        <v>0</v>
      </c>
      <c r="H129" s="147">
        <f t="shared" si="21"/>
        <v>0</v>
      </c>
      <c r="I129" s="147">
        <f t="shared" si="19"/>
        <v>0</v>
      </c>
      <c r="J129" s="147">
        <f t="shared" si="19"/>
        <v>0</v>
      </c>
      <c r="K129" s="147">
        <f t="shared" si="19"/>
        <v>0</v>
      </c>
      <c r="L129" s="147">
        <f t="shared" si="19"/>
        <v>0</v>
      </c>
      <c r="M129" s="147">
        <f t="shared" si="19"/>
        <v>0</v>
      </c>
      <c r="N129" s="147">
        <f t="shared" si="19"/>
        <v>0</v>
      </c>
      <c r="O129" s="147">
        <f t="shared" si="20"/>
        <v>0</v>
      </c>
      <c r="P129" s="147">
        <f t="shared" si="20"/>
        <v>0</v>
      </c>
      <c r="Q129" s="147">
        <f t="shared" si="20"/>
        <v>0</v>
      </c>
      <c r="R129" s="147">
        <f t="shared" si="20"/>
        <v>0</v>
      </c>
      <c r="S129" s="147">
        <f t="shared" si="20"/>
        <v>0</v>
      </c>
      <c r="T129" s="147">
        <f t="shared" si="20"/>
        <v>0</v>
      </c>
    </row>
    <row r="130" spans="2:20" ht="15">
      <c r="B130" s="142" t="str">
        <f t="shared" si="16"/>
        <v/>
      </c>
      <c r="C130" s="147" t="str">
        <f t="shared" si="21"/>
        <v/>
      </c>
      <c r="D130" s="147" t="str">
        <f t="shared" si="21"/>
        <v/>
      </c>
      <c r="E130" s="147" t="str">
        <f t="shared" si="21"/>
        <v/>
      </c>
      <c r="F130" s="147" t="str">
        <f t="shared" si="21"/>
        <v/>
      </c>
      <c r="G130" s="147" t="str">
        <f t="shared" si="21"/>
        <v/>
      </c>
      <c r="H130" s="147" t="str">
        <f t="shared" si="21"/>
        <v/>
      </c>
      <c r="I130" s="147" t="str">
        <f t="shared" si="19"/>
        <v/>
      </c>
      <c r="J130" s="147" t="str">
        <f t="shared" si="19"/>
        <v/>
      </c>
      <c r="K130" s="147" t="str">
        <f t="shared" si="19"/>
        <v/>
      </c>
      <c r="L130" s="147" t="str">
        <f t="shared" si="19"/>
        <v/>
      </c>
      <c r="M130" s="147" t="str">
        <f t="shared" si="19"/>
        <v/>
      </c>
      <c r="N130" s="147" t="str">
        <f t="shared" si="19"/>
        <v/>
      </c>
      <c r="O130" s="147" t="str">
        <f t="shared" si="20"/>
        <v/>
      </c>
      <c r="P130" s="147" t="str">
        <f t="shared" si="20"/>
        <v/>
      </c>
      <c r="Q130" s="147" t="str">
        <f t="shared" si="20"/>
        <v/>
      </c>
      <c r="R130" s="147" t="str">
        <f t="shared" si="20"/>
        <v/>
      </c>
      <c r="S130" s="147" t="str">
        <f t="shared" si="20"/>
        <v/>
      </c>
      <c r="T130" s="147" t="str">
        <f t="shared" si="20"/>
        <v/>
      </c>
    </row>
    <row r="131" spans="2:20" ht="15">
      <c r="B131" s="142" t="str">
        <f t="shared" si="16"/>
        <v/>
      </c>
      <c r="C131" s="147" t="str">
        <f t="shared" si="21"/>
        <v/>
      </c>
      <c r="D131" s="147" t="str">
        <f t="shared" si="21"/>
        <v/>
      </c>
      <c r="E131" s="147" t="str">
        <f t="shared" si="21"/>
        <v/>
      </c>
      <c r="F131" s="147" t="str">
        <f t="shared" si="21"/>
        <v/>
      </c>
      <c r="G131" s="147" t="str">
        <f t="shared" si="21"/>
        <v/>
      </c>
      <c r="H131" s="147" t="str">
        <f t="shared" si="21"/>
        <v/>
      </c>
      <c r="I131" s="147" t="str">
        <f t="shared" si="19"/>
        <v/>
      </c>
      <c r="J131" s="147" t="str">
        <f t="shared" si="19"/>
        <v/>
      </c>
      <c r="K131" s="147" t="str">
        <f t="shared" si="19"/>
        <v/>
      </c>
      <c r="L131" s="147" t="str">
        <f t="shared" si="19"/>
        <v/>
      </c>
      <c r="M131" s="147" t="str">
        <f t="shared" si="19"/>
        <v/>
      </c>
      <c r="N131" s="147" t="str">
        <f t="shared" si="19"/>
        <v/>
      </c>
      <c r="O131" s="147" t="str">
        <f t="shared" si="20"/>
        <v/>
      </c>
      <c r="P131" s="147" t="str">
        <f t="shared" si="20"/>
        <v/>
      </c>
      <c r="Q131" s="147" t="str">
        <f t="shared" si="20"/>
        <v/>
      </c>
      <c r="R131" s="147" t="str">
        <f t="shared" si="20"/>
        <v/>
      </c>
      <c r="S131" s="147" t="str">
        <f t="shared" si="20"/>
        <v/>
      </c>
      <c r="T131" s="147" t="str">
        <f t="shared" si="20"/>
        <v/>
      </c>
    </row>
    <row r="132" spans="2:20" ht="15">
      <c r="B132" s="142" t="str">
        <f t="shared" si="16"/>
        <v/>
      </c>
      <c r="C132" s="147" t="str">
        <f t="shared" si="21"/>
        <v/>
      </c>
      <c r="D132" s="147" t="str">
        <f t="shared" si="21"/>
        <v/>
      </c>
      <c r="E132" s="147" t="str">
        <f t="shared" si="21"/>
        <v/>
      </c>
      <c r="F132" s="147" t="str">
        <f t="shared" si="21"/>
        <v/>
      </c>
      <c r="G132" s="147" t="str">
        <f t="shared" si="21"/>
        <v/>
      </c>
      <c r="H132" s="147" t="str">
        <f t="shared" si="21"/>
        <v/>
      </c>
      <c r="I132" s="147" t="str">
        <f t="shared" si="19"/>
        <v/>
      </c>
      <c r="J132" s="147" t="str">
        <f t="shared" si="19"/>
        <v/>
      </c>
      <c r="K132" s="147" t="str">
        <f t="shared" si="19"/>
        <v/>
      </c>
      <c r="L132" s="147" t="str">
        <f t="shared" si="19"/>
        <v/>
      </c>
      <c r="M132" s="147" t="str">
        <f t="shared" si="19"/>
        <v/>
      </c>
      <c r="N132" s="147" t="str">
        <f t="shared" si="19"/>
        <v/>
      </c>
      <c r="O132" s="147" t="str">
        <f t="shared" si="20"/>
        <v/>
      </c>
      <c r="P132" s="147" t="str">
        <f t="shared" si="20"/>
        <v/>
      </c>
      <c r="Q132" s="147" t="str">
        <f t="shared" si="20"/>
        <v/>
      </c>
      <c r="R132" s="147" t="str">
        <f t="shared" si="20"/>
        <v/>
      </c>
      <c r="S132" s="147" t="str">
        <f t="shared" si="20"/>
        <v/>
      </c>
      <c r="T132" s="147" t="str">
        <f t="shared" si="20"/>
        <v/>
      </c>
    </row>
    <row r="133" spans="2:20" ht="15">
      <c r="B133" s="142" t="str">
        <f t="shared" si="16"/>
        <v/>
      </c>
      <c r="C133" s="147" t="str">
        <f t="shared" si="21"/>
        <v/>
      </c>
      <c r="D133" s="147" t="str">
        <f t="shared" si="21"/>
        <v/>
      </c>
      <c r="E133" s="147" t="str">
        <f t="shared" si="21"/>
        <v/>
      </c>
      <c r="F133" s="147" t="str">
        <f t="shared" si="21"/>
        <v/>
      </c>
      <c r="G133" s="147" t="str">
        <f t="shared" si="21"/>
        <v/>
      </c>
      <c r="H133" s="147" t="str">
        <f t="shared" si="21"/>
        <v/>
      </c>
      <c r="I133" s="147" t="str">
        <f t="shared" si="19"/>
        <v/>
      </c>
      <c r="J133" s="147" t="str">
        <f t="shared" si="19"/>
        <v/>
      </c>
      <c r="K133" s="147" t="str">
        <f t="shared" si="19"/>
        <v/>
      </c>
      <c r="L133" s="147" t="str">
        <f t="shared" si="19"/>
        <v/>
      </c>
      <c r="M133" s="147" t="str">
        <f t="shared" si="19"/>
        <v/>
      </c>
      <c r="N133" s="147" t="str">
        <f t="shared" si="19"/>
        <v/>
      </c>
      <c r="O133" s="147" t="str">
        <f t="shared" si="20"/>
        <v/>
      </c>
      <c r="P133" s="147" t="str">
        <f t="shared" si="20"/>
        <v/>
      </c>
      <c r="Q133" s="147" t="str">
        <f t="shared" si="20"/>
        <v/>
      </c>
      <c r="R133" s="147" t="str">
        <f t="shared" si="20"/>
        <v/>
      </c>
      <c r="S133" s="147" t="str">
        <f t="shared" si="20"/>
        <v/>
      </c>
      <c r="T133" s="147" t="str">
        <f t="shared" si="20"/>
        <v/>
      </c>
    </row>
    <row r="134" spans="2:20" ht="15">
      <c r="B134" s="142" t="str">
        <f t="shared" si="16"/>
        <v/>
      </c>
      <c r="C134" s="147" t="str">
        <f t="shared" si="21"/>
        <v/>
      </c>
      <c r="D134" s="147" t="str">
        <f t="shared" si="21"/>
        <v/>
      </c>
      <c r="E134" s="147" t="str">
        <f t="shared" si="21"/>
        <v/>
      </c>
      <c r="F134" s="147" t="str">
        <f t="shared" si="21"/>
        <v/>
      </c>
      <c r="G134" s="147" t="str">
        <f t="shared" si="21"/>
        <v/>
      </c>
      <c r="H134" s="147" t="str">
        <f t="shared" si="21"/>
        <v/>
      </c>
      <c r="I134" s="147" t="str">
        <f t="shared" si="19"/>
        <v/>
      </c>
      <c r="J134" s="147" t="str">
        <f t="shared" si="19"/>
        <v/>
      </c>
      <c r="K134" s="147" t="str">
        <f t="shared" si="19"/>
        <v/>
      </c>
      <c r="L134" s="147" t="str">
        <f t="shared" si="19"/>
        <v/>
      </c>
      <c r="M134" s="147" t="str">
        <f t="shared" si="19"/>
        <v/>
      </c>
      <c r="N134" s="147" t="str">
        <f t="shared" si="19"/>
        <v/>
      </c>
      <c r="O134" s="147" t="str">
        <f t="shared" si="20"/>
        <v/>
      </c>
      <c r="P134" s="147" t="str">
        <f t="shared" si="20"/>
        <v/>
      </c>
      <c r="Q134" s="147" t="str">
        <f t="shared" si="20"/>
        <v/>
      </c>
      <c r="R134" s="147" t="str">
        <f t="shared" si="20"/>
        <v/>
      </c>
      <c r="S134" s="147" t="str">
        <f t="shared" si="20"/>
        <v/>
      </c>
      <c r="T134" s="147" t="str">
        <f t="shared" si="20"/>
        <v/>
      </c>
    </row>
    <row r="135" spans="2:20" ht="15">
      <c r="B135" s="142" t="str">
        <f t="shared" si="16"/>
        <v/>
      </c>
      <c r="C135" s="147" t="str">
        <f t="shared" si="21"/>
        <v/>
      </c>
      <c r="D135" s="147" t="str">
        <f t="shared" si="21"/>
        <v/>
      </c>
      <c r="E135" s="147" t="str">
        <f t="shared" si="21"/>
        <v/>
      </c>
      <c r="F135" s="147" t="str">
        <f t="shared" si="21"/>
        <v/>
      </c>
      <c r="G135" s="147" t="str">
        <f t="shared" si="21"/>
        <v/>
      </c>
      <c r="H135" s="147" t="str">
        <f t="shared" si="21"/>
        <v/>
      </c>
      <c r="I135" s="147" t="str">
        <f t="shared" si="19"/>
        <v/>
      </c>
      <c r="J135" s="147" t="str">
        <f t="shared" si="19"/>
        <v/>
      </c>
      <c r="K135" s="147" t="str">
        <f t="shared" si="19"/>
        <v/>
      </c>
      <c r="L135" s="147" t="str">
        <f t="shared" si="19"/>
        <v/>
      </c>
      <c r="M135" s="147" t="str">
        <f t="shared" si="19"/>
        <v/>
      </c>
      <c r="N135" s="147" t="str">
        <f t="shared" si="19"/>
        <v/>
      </c>
      <c r="O135" s="147" t="str">
        <f t="shared" si="20"/>
        <v/>
      </c>
      <c r="P135" s="147" t="str">
        <f t="shared" si="20"/>
        <v/>
      </c>
      <c r="Q135" s="147" t="str">
        <f t="shared" si="20"/>
        <v/>
      </c>
      <c r="R135" s="147" t="str">
        <f t="shared" si="20"/>
        <v/>
      </c>
      <c r="S135" s="147" t="str">
        <f t="shared" si="20"/>
        <v/>
      </c>
      <c r="T135" s="147" t="str">
        <f t="shared" si="20"/>
        <v/>
      </c>
    </row>
    <row r="136" spans="2:20" ht="15">
      <c r="B136" s="142" t="str">
        <f t="shared" si="16"/>
        <v/>
      </c>
      <c r="C136" s="147" t="str">
        <f t="shared" si="21"/>
        <v/>
      </c>
      <c r="D136" s="147" t="str">
        <f t="shared" si="21"/>
        <v/>
      </c>
      <c r="E136" s="147" t="str">
        <f t="shared" si="21"/>
        <v/>
      </c>
      <c r="F136" s="147" t="str">
        <f t="shared" si="21"/>
        <v/>
      </c>
      <c r="G136" s="147" t="str">
        <f t="shared" si="21"/>
        <v/>
      </c>
      <c r="H136" s="147" t="str">
        <f t="shared" si="21"/>
        <v/>
      </c>
      <c r="I136" s="147" t="str">
        <f t="shared" si="19"/>
        <v/>
      </c>
      <c r="J136" s="147" t="str">
        <f t="shared" si="19"/>
        <v/>
      </c>
      <c r="K136" s="147" t="str">
        <f t="shared" si="19"/>
        <v/>
      </c>
      <c r="L136" s="147" t="str">
        <f t="shared" si="19"/>
        <v/>
      </c>
      <c r="M136" s="147" t="str">
        <f t="shared" si="19"/>
        <v/>
      </c>
      <c r="N136" s="147" t="str">
        <f t="shared" si="19"/>
        <v/>
      </c>
      <c r="O136" s="147" t="str">
        <f t="shared" si="20"/>
        <v/>
      </c>
      <c r="P136" s="147" t="str">
        <f t="shared" si="20"/>
        <v/>
      </c>
      <c r="Q136" s="147" t="str">
        <f t="shared" si="20"/>
        <v/>
      </c>
      <c r="R136" s="147" t="str">
        <f t="shared" si="20"/>
        <v/>
      </c>
      <c r="S136" s="147" t="str">
        <f t="shared" si="20"/>
        <v/>
      </c>
      <c r="T136" s="147" t="str">
        <f t="shared" si="20"/>
        <v/>
      </c>
    </row>
    <row r="137" spans="2:20" ht="15">
      <c r="B137" s="142" t="str">
        <f t="shared" si="16"/>
        <v/>
      </c>
      <c r="C137" s="147" t="str">
        <f t="shared" si="21"/>
        <v/>
      </c>
      <c r="D137" s="147" t="str">
        <f t="shared" si="21"/>
        <v/>
      </c>
      <c r="E137" s="147" t="str">
        <f t="shared" si="21"/>
        <v/>
      </c>
      <c r="F137" s="147" t="str">
        <f t="shared" si="21"/>
        <v/>
      </c>
      <c r="G137" s="147" t="str">
        <f t="shared" si="21"/>
        <v/>
      </c>
      <c r="H137" s="147" t="str">
        <f t="shared" si="21"/>
        <v/>
      </c>
      <c r="I137" s="147" t="str">
        <f t="shared" si="19"/>
        <v/>
      </c>
      <c r="J137" s="147" t="str">
        <f t="shared" si="19"/>
        <v/>
      </c>
      <c r="K137" s="147" t="str">
        <f t="shared" si="19"/>
        <v/>
      </c>
      <c r="L137" s="147" t="str">
        <f t="shared" si="19"/>
        <v/>
      </c>
      <c r="M137" s="147" t="str">
        <f t="shared" si="19"/>
        <v/>
      </c>
      <c r="N137" s="147" t="str">
        <f t="shared" si="19"/>
        <v/>
      </c>
      <c r="O137" s="147" t="str">
        <f t="shared" si="20"/>
        <v/>
      </c>
      <c r="P137" s="147" t="str">
        <f t="shared" si="20"/>
        <v/>
      </c>
      <c r="Q137" s="147" t="str">
        <f t="shared" si="20"/>
        <v/>
      </c>
      <c r="R137" s="147" t="str">
        <f t="shared" si="20"/>
        <v/>
      </c>
      <c r="S137" s="147" t="str">
        <f t="shared" si="20"/>
        <v/>
      </c>
      <c r="T137" s="147" t="str">
        <f t="shared" si="20"/>
        <v/>
      </c>
    </row>
    <row r="138" spans="2:20" ht="15">
      <c r="B138" s="142" t="str">
        <f t="shared" si="16"/>
        <v/>
      </c>
      <c r="C138" s="147" t="str">
        <f t="shared" si="21"/>
        <v/>
      </c>
      <c r="D138" s="147" t="str">
        <f t="shared" si="21"/>
        <v/>
      </c>
      <c r="E138" s="147" t="str">
        <f t="shared" si="21"/>
        <v/>
      </c>
      <c r="F138" s="147" t="str">
        <f t="shared" si="21"/>
        <v/>
      </c>
      <c r="G138" s="147" t="str">
        <f t="shared" si="21"/>
        <v/>
      </c>
      <c r="H138" s="147" t="str">
        <f t="shared" si="21"/>
        <v/>
      </c>
      <c r="I138" s="147" t="str">
        <f t="shared" si="19"/>
        <v/>
      </c>
      <c r="J138" s="147" t="str">
        <f t="shared" si="19"/>
        <v/>
      </c>
      <c r="K138" s="147" t="str">
        <f t="shared" si="19"/>
        <v/>
      </c>
      <c r="L138" s="147" t="str">
        <f t="shared" si="19"/>
        <v/>
      </c>
      <c r="M138" s="147" t="str">
        <f t="shared" si="19"/>
        <v/>
      </c>
      <c r="N138" s="147" t="str">
        <f t="shared" si="19"/>
        <v/>
      </c>
      <c r="O138" s="147" t="str">
        <f t="shared" si="20"/>
        <v/>
      </c>
      <c r="P138" s="147" t="str">
        <f t="shared" si="20"/>
        <v/>
      </c>
      <c r="Q138" s="147" t="str">
        <f t="shared" si="20"/>
        <v/>
      </c>
      <c r="R138" s="147" t="str">
        <f t="shared" si="20"/>
        <v/>
      </c>
      <c r="S138" s="147" t="str">
        <f t="shared" si="20"/>
        <v/>
      </c>
      <c r="T138" s="147" t="str">
        <f t="shared" si="20"/>
        <v/>
      </c>
    </row>
    <row r="139" spans="2:20" ht="15">
      <c r="B139" s="142" t="str">
        <f t="shared" si="16"/>
        <v/>
      </c>
      <c r="C139" s="147" t="str">
        <f t="shared" si="21"/>
        <v/>
      </c>
      <c r="D139" s="147" t="str">
        <f t="shared" si="21"/>
        <v/>
      </c>
      <c r="E139" s="147" t="str">
        <f t="shared" si="21"/>
        <v/>
      </c>
      <c r="F139" s="147" t="str">
        <f t="shared" si="21"/>
        <v/>
      </c>
      <c r="G139" s="147" t="str">
        <f t="shared" si="21"/>
        <v/>
      </c>
      <c r="H139" s="147" t="str">
        <f t="shared" si="21"/>
        <v/>
      </c>
      <c r="I139" s="147" t="str">
        <f t="shared" si="19"/>
        <v/>
      </c>
      <c r="J139" s="147" t="str">
        <f t="shared" si="19"/>
        <v/>
      </c>
      <c r="K139" s="147" t="str">
        <f t="shared" si="19"/>
        <v/>
      </c>
      <c r="L139" s="147" t="str">
        <f t="shared" si="19"/>
        <v/>
      </c>
      <c r="M139" s="147" t="str">
        <f t="shared" si="19"/>
        <v/>
      </c>
      <c r="N139" s="147" t="str">
        <f t="shared" si="19"/>
        <v/>
      </c>
      <c r="O139" s="147" t="str">
        <f t="shared" si="20"/>
        <v/>
      </c>
      <c r="P139" s="147" t="str">
        <f t="shared" si="20"/>
        <v/>
      </c>
      <c r="Q139" s="147" t="str">
        <f t="shared" si="20"/>
        <v/>
      </c>
      <c r="R139" s="147" t="str">
        <f t="shared" si="20"/>
        <v/>
      </c>
      <c r="S139" s="147" t="str">
        <f t="shared" si="20"/>
        <v/>
      </c>
      <c r="T139" s="147" t="str">
        <f t="shared" si="20"/>
        <v/>
      </c>
    </row>
    <row r="140" spans="2:20" ht="12.75" thickBot="1"/>
    <row r="141" spans="2:20" ht="15.75" thickBot="1">
      <c r="C141" s="474" t="s">
        <v>466</v>
      </c>
      <c r="D141" s="475"/>
      <c r="E141" s="475"/>
      <c r="F141" s="475"/>
      <c r="G141" s="475"/>
      <c r="H141" s="476"/>
      <c r="I141" s="474" t="s">
        <v>467</v>
      </c>
      <c r="J141" s="475"/>
      <c r="K141" s="475"/>
      <c r="L141" s="475"/>
      <c r="M141" s="475"/>
      <c r="N141" s="476"/>
    </row>
    <row r="142" spans="2:20" ht="15.75" thickBot="1">
      <c r="B142" s="141" t="s">
        <v>456</v>
      </c>
      <c r="C142" s="134" t="str">
        <f t="shared" ref="C142:H142" si="22">C2</f>
        <v>Rijwoning</v>
      </c>
      <c r="D142" s="134" t="str">
        <f t="shared" si="22"/>
        <v>Twee onder een kap</v>
      </c>
      <c r="E142" s="134" t="str">
        <f t="shared" si="22"/>
        <v>Vrijstaande 
woning</v>
      </c>
      <c r="F142" s="134" t="str">
        <f t="shared" si="22"/>
        <v>Gestapeld 
t/m 4 lagen</v>
      </c>
      <c r="G142" s="134" t="str">
        <f t="shared" si="22"/>
        <v>Gestapeld 
5 t/m 12 lagen</v>
      </c>
      <c r="H142" s="134" t="str">
        <f t="shared" si="22"/>
        <v>Gestapeld 13 of meer lagen</v>
      </c>
      <c r="I142" s="134" t="str">
        <f t="shared" ref="I142:N142" si="23">C142</f>
        <v>Rijwoning</v>
      </c>
      <c r="J142" s="134" t="str">
        <f t="shared" si="23"/>
        <v>Twee onder een kap</v>
      </c>
      <c r="K142" s="134" t="str">
        <f t="shared" si="23"/>
        <v>Vrijstaande 
woning</v>
      </c>
      <c r="L142" s="134" t="str">
        <f t="shared" si="23"/>
        <v>Gestapeld 
t/m 4 lagen</v>
      </c>
      <c r="M142" s="134" t="str">
        <f t="shared" si="23"/>
        <v>Gestapeld 
5 t/m 12 lagen</v>
      </c>
      <c r="N142" s="134" t="str">
        <f t="shared" si="23"/>
        <v>Gestapeld 13 of meer lagen</v>
      </c>
      <c r="O142" s="149" t="s">
        <v>468</v>
      </c>
      <c r="P142" s="149" t="s">
        <v>469</v>
      </c>
    </row>
    <row r="143" spans="2:20" ht="15">
      <c r="B143" s="142">
        <v>2023</v>
      </c>
      <c r="C143" s="147">
        <f t="shared" ref="C143:H158" si="24">+IF($B143="","",C14-I14-C80-I80-O80)</f>
        <v>0</v>
      </c>
      <c r="D143" s="147">
        <f t="shared" si="24"/>
        <v>0</v>
      </c>
      <c r="E143" s="147">
        <f t="shared" si="24"/>
        <v>0</v>
      </c>
      <c r="F143" s="147">
        <f t="shared" si="24"/>
        <v>0</v>
      </c>
      <c r="G143" s="147">
        <f t="shared" si="24"/>
        <v>0</v>
      </c>
      <c r="H143" s="147">
        <f t="shared" si="24"/>
        <v>0</v>
      </c>
      <c r="I143" s="147">
        <f t="shared" ref="I143:N174" si="25">+IF($B143="","",C143/(1+$K$8)^($B143-$B$143+1))</f>
        <v>0</v>
      </c>
      <c r="J143" s="147">
        <f t="shared" si="25"/>
        <v>0</v>
      </c>
      <c r="K143" s="147">
        <f t="shared" si="25"/>
        <v>0</v>
      </c>
      <c r="L143" s="147">
        <f t="shared" si="25"/>
        <v>0</v>
      </c>
      <c r="M143" s="147">
        <f t="shared" si="25"/>
        <v>0</v>
      </c>
      <c r="N143" s="147">
        <f t="shared" si="25"/>
        <v>0</v>
      </c>
      <c r="O143" s="150">
        <f>+IF($B143="","",SUM(I143:N143))</f>
        <v>0</v>
      </c>
      <c r="P143" s="150">
        <f>+IF($B143="","",SUM($O$143:$O143))</f>
        <v>0</v>
      </c>
    </row>
    <row r="144" spans="2:20" ht="15">
      <c r="B144" s="142">
        <f>+IF(B143="","",IF($B$143+$C$4&gt;B143+1,B143+1,""))</f>
        <v>2024</v>
      </c>
      <c r="C144" s="147">
        <f t="shared" si="24"/>
        <v>0</v>
      </c>
      <c r="D144" s="147">
        <f t="shared" si="24"/>
        <v>0</v>
      </c>
      <c r="E144" s="147">
        <f t="shared" si="24"/>
        <v>0</v>
      </c>
      <c r="F144" s="147">
        <f t="shared" si="24"/>
        <v>0</v>
      </c>
      <c r="G144" s="147">
        <f t="shared" si="24"/>
        <v>0</v>
      </c>
      <c r="H144" s="147">
        <f t="shared" si="24"/>
        <v>0</v>
      </c>
      <c r="I144" s="147">
        <f t="shared" si="25"/>
        <v>0</v>
      </c>
      <c r="J144" s="147">
        <f t="shared" si="25"/>
        <v>0</v>
      </c>
      <c r="K144" s="147">
        <f t="shared" si="25"/>
        <v>0</v>
      </c>
      <c r="L144" s="147">
        <f t="shared" si="25"/>
        <v>0</v>
      </c>
      <c r="M144" s="147">
        <f t="shared" si="25"/>
        <v>0</v>
      </c>
      <c r="N144" s="147">
        <f t="shared" si="25"/>
        <v>0</v>
      </c>
      <c r="O144" s="150">
        <f t="shared" ref="O144:O202" si="26">+IF($B144="","",SUM(I144:N144))</f>
        <v>0</v>
      </c>
      <c r="P144" s="150">
        <f>+IF($B144="","",SUM($O$143:$O144))</f>
        <v>0</v>
      </c>
    </row>
    <row r="145" spans="2:16" ht="15">
      <c r="B145" s="142">
        <f t="shared" ref="B145:B202" si="27">+IF(B144="","",IF($B$143+$C$4&gt;B144+1,B144+1,""))</f>
        <v>2025</v>
      </c>
      <c r="C145" s="147">
        <f t="shared" si="24"/>
        <v>0</v>
      </c>
      <c r="D145" s="147">
        <f t="shared" si="24"/>
        <v>0</v>
      </c>
      <c r="E145" s="147">
        <f t="shared" si="24"/>
        <v>0</v>
      </c>
      <c r="F145" s="147">
        <f t="shared" si="24"/>
        <v>0</v>
      </c>
      <c r="G145" s="147">
        <f t="shared" si="24"/>
        <v>0</v>
      </c>
      <c r="H145" s="147">
        <f t="shared" si="24"/>
        <v>0</v>
      </c>
      <c r="I145" s="147">
        <f t="shared" si="25"/>
        <v>0</v>
      </c>
      <c r="J145" s="147">
        <f t="shared" si="25"/>
        <v>0</v>
      </c>
      <c r="K145" s="147">
        <f t="shared" si="25"/>
        <v>0</v>
      </c>
      <c r="L145" s="147">
        <f t="shared" si="25"/>
        <v>0</v>
      </c>
      <c r="M145" s="147">
        <f t="shared" si="25"/>
        <v>0</v>
      </c>
      <c r="N145" s="147">
        <f t="shared" si="25"/>
        <v>0</v>
      </c>
      <c r="O145" s="150">
        <f t="shared" si="26"/>
        <v>0</v>
      </c>
      <c r="P145" s="150">
        <f>+IF($B145="","",SUM($O$143:$O145))</f>
        <v>0</v>
      </c>
    </row>
    <row r="146" spans="2:16" ht="15">
      <c r="B146" s="142">
        <f t="shared" si="27"/>
        <v>2026</v>
      </c>
      <c r="C146" s="147">
        <f t="shared" si="24"/>
        <v>0</v>
      </c>
      <c r="D146" s="147">
        <f t="shared" si="24"/>
        <v>0</v>
      </c>
      <c r="E146" s="147">
        <f t="shared" si="24"/>
        <v>0</v>
      </c>
      <c r="F146" s="147">
        <f t="shared" si="24"/>
        <v>0</v>
      </c>
      <c r="G146" s="147">
        <f t="shared" si="24"/>
        <v>0</v>
      </c>
      <c r="H146" s="147">
        <f t="shared" si="24"/>
        <v>0</v>
      </c>
      <c r="I146" s="147">
        <f t="shared" si="25"/>
        <v>0</v>
      </c>
      <c r="J146" s="147">
        <f t="shared" si="25"/>
        <v>0</v>
      </c>
      <c r="K146" s="147">
        <f t="shared" si="25"/>
        <v>0</v>
      </c>
      <c r="L146" s="147">
        <f t="shared" si="25"/>
        <v>0</v>
      </c>
      <c r="M146" s="147">
        <f t="shared" si="25"/>
        <v>0</v>
      </c>
      <c r="N146" s="147">
        <f t="shared" si="25"/>
        <v>0</v>
      </c>
      <c r="O146" s="150">
        <f t="shared" si="26"/>
        <v>0</v>
      </c>
      <c r="P146" s="150">
        <f>+IF($B146="","",SUM($O$143:$O146))</f>
        <v>0</v>
      </c>
    </row>
    <row r="147" spans="2:16" ht="15">
      <c r="B147" s="142">
        <f t="shared" si="27"/>
        <v>2027</v>
      </c>
      <c r="C147" s="147">
        <f t="shared" si="24"/>
        <v>0</v>
      </c>
      <c r="D147" s="147">
        <f t="shared" si="24"/>
        <v>0</v>
      </c>
      <c r="E147" s="147">
        <f t="shared" si="24"/>
        <v>0</v>
      </c>
      <c r="F147" s="147">
        <f t="shared" si="24"/>
        <v>0</v>
      </c>
      <c r="G147" s="147">
        <f t="shared" si="24"/>
        <v>0</v>
      </c>
      <c r="H147" s="147">
        <f t="shared" si="24"/>
        <v>0</v>
      </c>
      <c r="I147" s="147">
        <f t="shared" si="25"/>
        <v>0</v>
      </c>
      <c r="J147" s="147">
        <f t="shared" si="25"/>
        <v>0</v>
      </c>
      <c r="K147" s="147">
        <f t="shared" si="25"/>
        <v>0</v>
      </c>
      <c r="L147" s="147">
        <f t="shared" si="25"/>
        <v>0</v>
      </c>
      <c r="M147" s="147">
        <f t="shared" si="25"/>
        <v>0</v>
      </c>
      <c r="N147" s="147">
        <f t="shared" si="25"/>
        <v>0</v>
      </c>
      <c r="O147" s="150">
        <f t="shared" si="26"/>
        <v>0</v>
      </c>
      <c r="P147" s="150">
        <f>+IF($B147="","",SUM($O$143:$O147))</f>
        <v>0</v>
      </c>
    </row>
    <row r="148" spans="2:16" ht="15">
      <c r="B148" s="142">
        <f t="shared" si="27"/>
        <v>2028</v>
      </c>
      <c r="C148" s="147">
        <f t="shared" si="24"/>
        <v>0</v>
      </c>
      <c r="D148" s="147">
        <f t="shared" si="24"/>
        <v>0</v>
      </c>
      <c r="E148" s="147">
        <f t="shared" si="24"/>
        <v>0</v>
      </c>
      <c r="F148" s="147">
        <f t="shared" si="24"/>
        <v>0</v>
      </c>
      <c r="G148" s="147">
        <f t="shared" si="24"/>
        <v>0</v>
      </c>
      <c r="H148" s="147">
        <f t="shared" si="24"/>
        <v>0</v>
      </c>
      <c r="I148" s="147">
        <f t="shared" si="25"/>
        <v>0</v>
      </c>
      <c r="J148" s="147">
        <f t="shared" si="25"/>
        <v>0</v>
      </c>
      <c r="K148" s="147">
        <f t="shared" si="25"/>
        <v>0</v>
      </c>
      <c r="L148" s="147">
        <f t="shared" si="25"/>
        <v>0</v>
      </c>
      <c r="M148" s="147">
        <f t="shared" si="25"/>
        <v>0</v>
      </c>
      <c r="N148" s="147">
        <f t="shared" si="25"/>
        <v>0</v>
      </c>
      <c r="O148" s="150">
        <f t="shared" si="26"/>
        <v>0</v>
      </c>
      <c r="P148" s="150">
        <f>+IF($B148="","",SUM($O$143:$O148))</f>
        <v>0</v>
      </c>
    </row>
    <row r="149" spans="2:16" ht="15">
      <c r="B149" s="142">
        <f t="shared" si="27"/>
        <v>2029</v>
      </c>
      <c r="C149" s="147">
        <f t="shared" si="24"/>
        <v>0</v>
      </c>
      <c r="D149" s="147">
        <f t="shared" si="24"/>
        <v>0</v>
      </c>
      <c r="E149" s="147">
        <f t="shared" si="24"/>
        <v>0</v>
      </c>
      <c r="F149" s="147">
        <f t="shared" si="24"/>
        <v>0</v>
      </c>
      <c r="G149" s="147">
        <f t="shared" si="24"/>
        <v>0</v>
      </c>
      <c r="H149" s="147">
        <f t="shared" si="24"/>
        <v>0</v>
      </c>
      <c r="I149" s="147">
        <f t="shared" si="25"/>
        <v>0</v>
      </c>
      <c r="J149" s="147">
        <f t="shared" si="25"/>
        <v>0</v>
      </c>
      <c r="K149" s="147">
        <f t="shared" si="25"/>
        <v>0</v>
      </c>
      <c r="L149" s="147">
        <f t="shared" si="25"/>
        <v>0</v>
      </c>
      <c r="M149" s="147">
        <f t="shared" si="25"/>
        <v>0</v>
      </c>
      <c r="N149" s="147">
        <f t="shared" si="25"/>
        <v>0</v>
      </c>
      <c r="O149" s="150">
        <f t="shared" si="26"/>
        <v>0</v>
      </c>
      <c r="P149" s="150">
        <f>+IF($B149="","",SUM($O$143:$O149))</f>
        <v>0</v>
      </c>
    </row>
    <row r="150" spans="2:16" ht="15">
      <c r="B150" s="142">
        <f t="shared" si="27"/>
        <v>2030</v>
      </c>
      <c r="C150" s="147">
        <f t="shared" si="24"/>
        <v>0</v>
      </c>
      <c r="D150" s="147">
        <f t="shared" si="24"/>
        <v>0</v>
      </c>
      <c r="E150" s="147">
        <f t="shared" si="24"/>
        <v>0</v>
      </c>
      <c r="F150" s="147">
        <f t="shared" si="24"/>
        <v>0</v>
      </c>
      <c r="G150" s="147">
        <f t="shared" si="24"/>
        <v>0</v>
      </c>
      <c r="H150" s="147">
        <f t="shared" si="24"/>
        <v>0</v>
      </c>
      <c r="I150" s="147">
        <f t="shared" si="25"/>
        <v>0</v>
      </c>
      <c r="J150" s="147">
        <f t="shared" si="25"/>
        <v>0</v>
      </c>
      <c r="K150" s="147">
        <f t="shared" si="25"/>
        <v>0</v>
      </c>
      <c r="L150" s="147">
        <f t="shared" si="25"/>
        <v>0</v>
      </c>
      <c r="M150" s="147">
        <f t="shared" si="25"/>
        <v>0</v>
      </c>
      <c r="N150" s="147">
        <f t="shared" si="25"/>
        <v>0</v>
      </c>
      <c r="O150" s="150">
        <f t="shared" si="26"/>
        <v>0</v>
      </c>
      <c r="P150" s="150">
        <f>+IF($B150="","",SUM($O$143:$O150))</f>
        <v>0</v>
      </c>
    </row>
    <row r="151" spans="2:16" ht="15">
      <c r="B151" s="142">
        <f t="shared" si="27"/>
        <v>2031</v>
      </c>
      <c r="C151" s="147">
        <f t="shared" si="24"/>
        <v>0</v>
      </c>
      <c r="D151" s="147">
        <f t="shared" si="24"/>
        <v>0</v>
      </c>
      <c r="E151" s="147">
        <f t="shared" si="24"/>
        <v>0</v>
      </c>
      <c r="F151" s="147">
        <f t="shared" si="24"/>
        <v>0</v>
      </c>
      <c r="G151" s="147">
        <f t="shared" si="24"/>
        <v>0</v>
      </c>
      <c r="H151" s="147">
        <f t="shared" si="24"/>
        <v>0</v>
      </c>
      <c r="I151" s="147">
        <f t="shared" si="25"/>
        <v>0</v>
      </c>
      <c r="J151" s="147">
        <f t="shared" si="25"/>
        <v>0</v>
      </c>
      <c r="K151" s="147">
        <f t="shared" si="25"/>
        <v>0</v>
      </c>
      <c r="L151" s="147">
        <f t="shared" si="25"/>
        <v>0</v>
      </c>
      <c r="M151" s="147">
        <f t="shared" si="25"/>
        <v>0</v>
      </c>
      <c r="N151" s="147">
        <f t="shared" si="25"/>
        <v>0</v>
      </c>
      <c r="O151" s="150">
        <f t="shared" si="26"/>
        <v>0</v>
      </c>
      <c r="P151" s="150">
        <f>+IF($B151="","",SUM($O$143:$O151))</f>
        <v>0</v>
      </c>
    </row>
    <row r="152" spans="2:16" ht="15">
      <c r="B152" s="142">
        <f t="shared" si="27"/>
        <v>2032</v>
      </c>
      <c r="C152" s="147">
        <f t="shared" si="24"/>
        <v>0</v>
      </c>
      <c r="D152" s="147">
        <f t="shared" si="24"/>
        <v>0</v>
      </c>
      <c r="E152" s="147">
        <f t="shared" si="24"/>
        <v>0</v>
      </c>
      <c r="F152" s="147">
        <f t="shared" si="24"/>
        <v>0</v>
      </c>
      <c r="G152" s="147">
        <f t="shared" si="24"/>
        <v>0</v>
      </c>
      <c r="H152" s="147">
        <f t="shared" si="24"/>
        <v>0</v>
      </c>
      <c r="I152" s="147">
        <f t="shared" si="25"/>
        <v>0</v>
      </c>
      <c r="J152" s="147">
        <f t="shared" si="25"/>
        <v>0</v>
      </c>
      <c r="K152" s="147">
        <f t="shared" si="25"/>
        <v>0</v>
      </c>
      <c r="L152" s="147">
        <f t="shared" si="25"/>
        <v>0</v>
      </c>
      <c r="M152" s="147">
        <f t="shared" si="25"/>
        <v>0</v>
      </c>
      <c r="N152" s="147">
        <f t="shared" si="25"/>
        <v>0</v>
      </c>
      <c r="O152" s="150">
        <f t="shared" si="26"/>
        <v>0</v>
      </c>
      <c r="P152" s="150">
        <f>+IF($B152="","",SUM($O$143:$O152))</f>
        <v>0</v>
      </c>
    </row>
    <row r="153" spans="2:16" ht="15">
      <c r="B153" s="142">
        <f t="shared" si="27"/>
        <v>2033</v>
      </c>
      <c r="C153" s="147">
        <f t="shared" si="24"/>
        <v>0</v>
      </c>
      <c r="D153" s="147">
        <f t="shared" si="24"/>
        <v>0</v>
      </c>
      <c r="E153" s="147">
        <f t="shared" si="24"/>
        <v>0</v>
      </c>
      <c r="F153" s="147">
        <f t="shared" si="24"/>
        <v>0</v>
      </c>
      <c r="G153" s="147">
        <f t="shared" si="24"/>
        <v>0</v>
      </c>
      <c r="H153" s="147">
        <f t="shared" si="24"/>
        <v>0</v>
      </c>
      <c r="I153" s="147">
        <f t="shared" si="25"/>
        <v>0</v>
      </c>
      <c r="J153" s="147">
        <f t="shared" si="25"/>
        <v>0</v>
      </c>
      <c r="K153" s="147">
        <f t="shared" si="25"/>
        <v>0</v>
      </c>
      <c r="L153" s="147">
        <f t="shared" si="25"/>
        <v>0</v>
      </c>
      <c r="M153" s="147">
        <f t="shared" si="25"/>
        <v>0</v>
      </c>
      <c r="N153" s="147">
        <f t="shared" si="25"/>
        <v>0</v>
      </c>
      <c r="O153" s="150">
        <f t="shared" si="26"/>
        <v>0</v>
      </c>
      <c r="P153" s="150">
        <f>+IF($B153="","",SUM($O$143:$O153))</f>
        <v>0</v>
      </c>
    </row>
    <row r="154" spans="2:16" ht="15">
      <c r="B154" s="142">
        <f t="shared" si="27"/>
        <v>2034</v>
      </c>
      <c r="C154" s="147">
        <f t="shared" si="24"/>
        <v>0</v>
      </c>
      <c r="D154" s="147">
        <f t="shared" si="24"/>
        <v>0</v>
      </c>
      <c r="E154" s="147">
        <f t="shared" si="24"/>
        <v>0</v>
      </c>
      <c r="F154" s="147">
        <f t="shared" si="24"/>
        <v>0</v>
      </c>
      <c r="G154" s="147">
        <f t="shared" si="24"/>
        <v>0</v>
      </c>
      <c r="H154" s="147">
        <f t="shared" si="24"/>
        <v>0</v>
      </c>
      <c r="I154" s="147">
        <f t="shared" si="25"/>
        <v>0</v>
      </c>
      <c r="J154" s="147">
        <f t="shared" si="25"/>
        <v>0</v>
      </c>
      <c r="K154" s="147">
        <f t="shared" si="25"/>
        <v>0</v>
      </c>
      <c r="L154" s="147">
        <f t="shared" si="25"/>
        <v>0</v>
      </c>
      <c r="M154" s="147">
        <f t="shared" si="25"/>
        <v>0</v>
      </c>
      <c r="N154" s="147">
        <f t="shared" si="25"/>
        <v>0</v>
      </c>
      <c r="O154" s="150">
        <f t="shared" si="26"/>
        <v>0</v>
      </c>
      <c r="P154" s="150">
        <f>+IF($B154="","",SUM($O$143:$O154))</f>
        <v>0</v>
      </c>
    </row>
    <row r="155" spans="2:16" ht="15">
      <c r="B155" s="142">
        <f t="shared" si="27"/>
        <v>2035</v>
      </c>
      <c r="C155" s="147">
        <f t="shared" si="24"/>
        <v>0</v>
      </c>
      <c r="D155" s="147">
        <f t="shared" si="24"/>
        <v>0</v>
      </c>
      <c r="E155" s="147">
        <f t="shared" si="24"/>
        <v>0</v>
      </c>
      <c r="F155" s="147">
        <f t="shared" si="24"/>
        <v>0</v>
      </c>
      <c r="G155" s="147">
        <f t="shared" si="24"/>
        <v>0</v>
      </c>
      <c r="H155" s="147">
        <f t="shared" si="24"/>
        <v>0</v>
      </c>
      <c r="I155" s="147">
        <f t="shared" si="25"/>
        <v>0</v>
      </c>
      <c r="J155" s="147">
        <f t="shared" si="25"/>
        <v>0</v>
      </c>
      <c r="K155" s="147">
        <f t="shared" si="25"/>
        <v>0</v>
      </c>
      <c r="L155" s="147">
        <f t="shared" si="25"/>
        <v>0</v>
      </c>
      <c r="M155" s="147">
        <f t="shared" si="25"/>
        <v>0</v>
      </c>
      <c r="N155" s="147">
        <f t="shared" si="25"/>
        <v>0</v>
      </c>
      <c r="O155" s="150">
        <f t="shared" si="26"/>
        <v>0</v>
      </c>
      <c r="P155" s="150">
        <f>+IF($B155="","",SUM($O$143:$O155))</f>
        <v>0</v>
      </c>
    </row>
    <row r="156" spans="2:16" ht="15">
      <c r="B156" s="142">
        <f t="shared" si="27"/>
        <v>2036</v>
      </c>
      <c r="C156" s="147">
        <f t="shared" si="24"/>
        <v>0</v>
      </c>
      <c r="D156" s="147">
        <f t="shared" si="24"/>
        <v>0</v>
      </c>
      <c r="E156" s="147">
        <f t="shared" si="24"/>
        <v>0</v>
      </c>
      <c r="F156" s="147">
        <f t="shared" si="24"/>
        <v>0</v>
      </c>
      <c r="G156" s="147">
        <f t="shared" si="24"/>
        <v>0</v>
      </c>
      <c r="H156" s="147">
        <f t="shared" si="24"/>
        <v>0</v>
      </c>
      <c r="I156" s="147">
        <f t="shared" si="25"/>
        <v>0</v>
      </c>
      <c r="J156" s="147">
        <f t="shared" si="25"/>
        <v>0</v>
      </c>
      <c r="K156" s="147">
        <f t="shared" si="25"/>
        <v>0</v>
      </c>
      <c r="L156" s="147">
        <f t="shared" si="25"/>
        <v>0</v>
      </c>
      <c r="M156" s="147">
        <f t="shared" si="25"/>
        <v>0</v>
      </c>
      <c r="N156" s="147">
        <f t="shared" si="25"/>
        <v>0</v>
      </c>
      <c r="O156" s="150">
        <f t="shared" si="26"/>
        <v>0</v>
      </c>
      <c r="P156" s="150">
        <f>+IF($B156="","",SUM($O$143:$O156))</f>
        <v>0</v>
      </c>
    </row>
    <row r="157" spans="2:16" ht="15">
      <c r="B157" s="142">
        <f t="shared" si="27"/>
        <v>2037</v>
      </c>
      <c r="C157" s="147">
        <f t="shared" si="24"/>
        <v>0</v>
      </c>
      <c r="D157" s="147">
        <f t="shared" si="24"/>
        <v>0</v>
      </c>
      <c r="E157" s="147">
        <f t="shared" si="24"/>
        <v>0</v>
      </c>
      <c r="F157" s="147">
        <f t="shared" si="24"/>
        <v>0</v>
      </c>
      <c r="G157" s="147">
        <f t="shared" si="24"/>
        <v>0</v>
      </c>
      <c r="H157" s="147">
        <f t="shared" si="24"/>
        <v>0</v>
      </c>
      <c r="I157" s="147">
        <f t="shared" si="25"/>
        <v>0</v>
      </c>
      <c r="J157" s="147">
        <f t="shared" si="25"/>
        <v>0</v>
      </c>
      <c r="K157" s="147">
        <f t="shared" si="25"/>
        <v>0</v>
      </c>
      <c r="L157" s="147">
        <f t="shared" si="25"/>
        <v>0</v>
      </c>
      <c r="M157" s="147">
        <f t="shared" si="25"/>
        <v>0</v>
      </c>
      <c r="N157" s="147">
        <f t="shared" si="25"/>
        <v>0</v>
      </c>
      <c r="O157" s="150">
        <f t="shared" si="26"/>
        <v>0</v>
      </c>
      <c r="P157" s="150">
        <f>+IF($B157="","",SUM($O$143:$O157))</f>
        <v>0</v>
      </c>
    </row>
    <row r="158" spans="2:16" ht="15">
      <c r="B158" s="142">
        <f t="shared" si="27"/>
        <v>2038</v>
      </c>
      <c r="C158" s="147">
        <f t="shared" si="24"/>
        <v>0</v>
      </c>
      <c r="D158" s="147">
        <f t="shared" si="24"/>
        <v>0</v>
      </c>
      <c r="E158" s="147">
        <f t="shared" si="24"/>
        <v>0</v>
      </c>
      <c r="F158" s="147">
        <f t="shared" si="24"/>
        <v>0</v>
      </c>
      <c r="G158" s="147">
        <f t="shared" si="24"/>
        <v>0</v>
      </c>
      <c r="H158" s="147">
        <f t="shared" si="24"/>
        <v>0</v>
      </c>
      <c r="I158" s="147">
        <f t="shared" si="25"/>
        <v>0</v>
      </c>
      <c r="J158" s="147">
        <f t="shared" si="25"/>
        <v>0</v>
      </c>
      <c r="K158" s="147">
        <f t="shared" si="25"/>
        <v>0</v>
      </c>
      <c r="L158" s="147">
        <f t="shared" si="25"/>
        <v>0</v>
      </c>
      <c r="M158" s="147">
        <f t="shared" si="25"/>
        <v>0</v>
      </c>
      <c r="N158" s="147">
        <f t="shared" si="25"/>
        <v>0</v>
      </c>
      <c r="O158" s="150">
        <f t="shared" si="26"/>
        <v>0</v>
      </c>
      <c r="P158" s="150">
        <f>+IF($B158="","",SUM($O$143:$O158))</f>
        <v>0</v>
      </c>
    </row>
    <row r="159" spans="2:16" ht="15">
      <c r="B159" s="142">
        <f t="shared" si="27"/>
        <v>2039</v>
      </c>
      <c r="C159" s="147">
        <f t="shared" ref="C159:H174" si="28">+IF($B159="","",C30-I30-C96-I96-O96)</f>
        <v>0</v>
      </c>
      <c r="D159" s="147">
        <f t="shared" si="28"/>
        <v>0</v>
      </c>
      <c r="E159" s="147">
        <f t="shared" si="28"/>
        <v>0</v>
      </c>
      <c r="F159" s="147">
        <f t="shared" si="28"/>
        <v>0</v>
      </c>
      <c r="G159" s="147">
        <f t="shared" si="28"/>
        <v>0</v>
      </c>
      <c r="H159" s="147">
        <f t="shared" si="28"/>
        <v>0</v>
      </c>
      <c r="I159" s="147">
        <f t="shared" si="25"/>
        <v>0</v>
      </c>
      <c r="J159" s="147">
        <f t="shared" si="25"/>
        <v>0</v>
      </c>
      <c r="K159" s="147">
        <f t="shared" si="25"/>
        <v>0</v>
      </c>
      <c r="L159" s="147">
        <f t="shared" si="25"/>
        <v>0</v>
      </c>
      <c r="M159" s="147">
        <f t="shared" si="25"/>
        <v>0</v>
      </c>
      <c r="N159" s="147">
        <f t="shared" si="25"/>
        <v>0</v>
      </c>
      <c r="O159" s="150">
        <f t="shared" si="26"/>
        <v>0</v>
      </c>
      <c r="P159" s="150">
        <f>+IF($B159="","",SUM($O$143:$O159))</f>
        <v>0</v>
      </c>
    </row>
    <row r="160" spans="2:16" ht="15">
      <c r="B160" s="142">
        <f t="shared" si="27"/>
        <v>2040</v>
      </c>
      <c r="C160" s="147">
        <f t="shared" si="28"/>
        <v>0</v>
      </c>
      <c r="D160" s="147">
        <f t="shared" si="28"/>
        <v>0</v>
      </c>
      <c r="E160" s="147">
        <f t="shared" si="28"/>
        <v>0</v>
      </c>
      <c r="F160" s="147">
        <f t="shared" si="28"/>
        <v>0</v>
      </c>
      <c r="G160" s="147">
        <f t="shared" si="28"/>
        <v>0</v>
      </c>
      <c r="H160" s="147">
        <f t="shared" si="28"/>
        <v>0</v>
      </c>
      <c r="I160" s="147">
        <f t="shared" si="25"/>
        <v>0</v>
      </c>
      <c r="J160" s="147">
        <f t="shared" si="25"/>
        <v>0</v>
      </c>
      <c r="K160" s="147">
        <f t="shared" si="25"/>
        <v>0</v>
      </c>
      <c r="L160" s="147">
        <f t="shared" si="25"/>
        <v>0</v>
      </c>
      <c r="M160" s="147">
        <f t="shared" si="25"/>
        <v>0</v>
      </c>
      <c r="N160" s="147">
        <f t="shared" si="25"/>
        <v>0</v>
      </c>
      <c r="O160" s="150">
        <f t="shared" si="26"/>
        <v>0</v>
      </c>
      <c r="P160" s="150">
        <f>+IF($B160="","",SUM($O$143:$O160))</f>
        <v>0</v>
      </c>
    </row>
    <row r="161" spans="2:16" ht="15">
      <c r="B161" s="142">
        <f t="shared" si="27"/>
        <v>2041</v>
      </c>
      <c r="C161" s="147">
        <f t="shared" si="28"/>
        <v>0</v>
      </c>
      <c r="D161" s="147">
        <f t="shared" si="28"/>
        <v>0</v>
      </c>
      <c r="E161" s="147">
        <f t="shared" si="28"/>
        <v>0</v>
      </c>
      <c r="F161" s="147">
        <f t="shared" si="28"/>
        <v>0</v>
      </c>
      <c r="G161" s="147">
        <f t="shared" si="28"/>
        <v>0</v>
      </c>
      <c r="H161" s="147">
        <f t="shared" si="28"/>
        <v>0</v>
      </c>
      <c r="I161" s="147">
        <f t="shared" si="25"/>
        <v>0</v>
      </c>
      <c r="J161" s="147">
        <f t="shared" si="25"/>
        <v>0</v>
      </c>
      <c r="K161" s="147">
        <f t="shared" si="25"/>
        <v>0</v>
      </c>
      <c r="L161" s="147">
        <f t="shared" si="25"/>
        <v>0</v>
      </c>
      <c r="M161" s="147">
        <f t="shared" si="25"/>
        <v>0</v>
      </c>
      <c r="N161" s="147">
        <f t="shared" si="25"/>
        <v>0</v>
      </c>
      <c r="O161" s="150">
        <f t="shared" si="26"/>
        <v>0</v>
      </c>
      <c r="P161" s="150">
        <f>+IF($B161="","",SUM($O$143:$O161))</f>
        <v>0</v>
      </c>
    </row>
    <row r="162" spans="2:16" ht="15">
      <c r="B162" s="142">
        <f t="shared" si="27"/>
        <v>2042</v>
      </c>
      <c r="C162" s="147">
        <f t="shared" si="28"/>
        <v>0</v>
      </c>
      <c r="D162" s="147">
        <f t="shared" si="28"/>
        <v>0</v>
      </c>
      <c r="E162" s="147">
        <f t="shared" si="28"/>
        <v>0</v>
      </c>
      <c r="F162" s="147">
        <f t="shared" si="28"/>
        <v>0</v>
      </c>
      <c r="G162" s="147">
        <f t="shared" si="28"/>
        <v>0</v>
      </c>
      <c r="H162" s="147">
        <f t="shared" si="28"/>
        <v>0</v>
      </c>
      <c r="I162" s="147">
        <f t="shared" si="25"/>
        <v>0</v>
      </c>
      <c r="J162" s="147">
        <f t="shared" si="25"/>
        <v>0</v>
      </c>
      <c r="K162" s="147">
        <f t="shared" si="25"/>
        <v>0</v>
      </c>
      <c r="L162" s="147">
        <f t="shared" si="25"/>
        <v>0</v>
      </c>
      <c r="M162" s="147">
        <f t="shared" si="25"/>
        <v>0</v>
      </c>
      <c r="N162" s="147">
        <f t="shared" si="25"/>
        <v>0</v>
      </c>
      <c r="O162" s="150">
        <f t="shared" si="26"/>
        <v>0</v>
      </c>
      <c r="P162" s="150">
        <f>+IF($B162="","",SUM($O$143:$O162))</f>
        <v>0</v>
      </c>
    </row>
    <row r="163" spans="2:16" ht="15">
      <c r="B163" s="142">
        <f t="shared" si="27"/>
        <v>2043</v>
      </c>
      <c r="C163" s="147">
        <f t="shared" si="28"/>
        <v>0</v>
      </c>
      <c r="D163" s="147">
        <f t="shared" si="28"/>
        <v>0</v>
      </c>
      <c r="E163" s="147">
        <f t="shared" si="28"/>
        <v>0</v>
      </c>
      <c r="F163" s="147">
        <f t="shared" si="28"/>
        <v>0</v>
      </c>
      <c r="G163" s="147">
        <f t="shared" si="28"/>
        <v>0</v>
      </c>
      <c r="H163" s="147">
        <f t="shared" si="28"/>
        <v>0</v>
      </c>
      <c r="I163" s="147">
        <f t="shared" si="25"/>
        <v>0</v>
      </c>
      <c r="J163" s="147">
        <f t="shared" si="25"/>
        <v>0</v>
      </c>
      <c r="K163" s="147">
        <f t="shared" si="25"/>
        <v>0</v>
      </c>
      <c r="L163" s="147">
        <f t="shared" si="25"/>
        <v>0</v>
      </c>
      <c r="M163" s="147">
        <f t="shared" si="25"/>
        <v>0</v>
      </c>
      <c r="N163" s="147">
        <f t="shared" si="25"/>
        <v>0</v>
      </c>
      <c r="O163" s="150">
        <f t="shared" si="26"/>
        <v>0</v>
      </c>
      <c r="P163" s="150">
        <f>+IF($B163="","",SUM($O$143:$O163))</f>
        <v>0</v>
      </c>
    </row>
    <row r="164" spans="2:16" ht="15">
      <c r="B164" s="142">
        <f t="shared" si="27"/>
        <v>2044</v>
      </c>
      <c r="C164" s="147">
        <f t="shared" si="28"/>
        <v>0</v>
      </c>
      <c r="D164" s="147">
        <f t="shared" si="28"/>
        <v>0</v>
      </c>
      <c r="E164" s="147">
        <f t="shared" si="28"/>
        <v>0</v>
      </c>
      <c r="F164" s="147">
        <f t="shared" si="28"/>
        <v>0</v>
      </c>
      <c r="G164" s="147">
        <f t="shared" si="28"/>
        <v>0</v>
      </c>
      <c r="H164" s="147">
        <f t="shared" si="28"/>
        <v>0</v>
      </c>
      <c r="I164" s="147">
        <f t="shared" si="25"/>
        <v>0</v>
      </c>
      <c r="J164" s="147">
        <f t="shared" si="25"/>
        <v>0</v>
      </c>
      <c r="K164" s="147">
        <f t="shared" si="25"/>
        <v>0</v>
      </c>
      <c r="L164" s="147">
        <f t="shared" si="25"/>
        <v>0</v>
      </c>
      <c r="M164" s="147">
        <f t="shared" si="25"/>
        <v>0</v>
      </c>
      <c r="N164" s="147">
        <f t="shared" si="25"/>
        <v>0</v>
      </c>
      <c r="O164" s="150">
        <f t="shared" si="26"/>
        <v>0</v>
      </c>
      <c r="P164" s="150">
        <f>+IF($B164="","",SUM($O$143:$O164))</f>
        <v>0</v>
      </c>
    </row>
    <row r="165" spans="2:16" ht="15">
      <c r="B165" s="142">
        <f t="shared" si="27"/>
        <v>2045</v>
      </c>
      <c r="C165" s="147">
        <f t="shared" si="28"/>
        <v>0</v>
      </c>
      <c r="D165" s="147">
        <f t="shared" si="28"/>
        <v>0</v>
      </c>
      <c r="E165" s="147">
        <f t="shared" si="28"/>
        <v>0</v>
      </c>
      <c r="F165" s="147">
        <f t="shared" si="28"/>
        <v>0</v>
      </c>
      <c r="G165" s="147">
        <f t="shared" si="28"/>
        <v>0</v>
      </c>
      <c r="H165" s="147">
        <f t="shared" si="28"/>
        <v>0</v>
      </c>
      <c r="I165" s="147">
        <f t="shared" si="25"/>
        <v>0</v>
      </c>
      <c r="J165" s="147">
        <f t="shared" si="25"/>
        <v>0</v>
      </c>
      <c r="K165" s="147">
        <f t="shared" si="25"/>
        <v>0</v>
      </c>
      <c r="L165" s="147">
        <f t="shared" si="25"/>
        <v>0</v>
      </c>
      <c r="M165" s="147">
        <f t="shared" si="25"/>
        <v>0</v>
      </c>
      <c r="N165" s="147">
        <f t="shared" si="25"/>
        <v>0</v>
      </c>
      <c r="O165" s="150">
        <f t="shared" si="26"/>
        <v>0</v>
      </c>
      <c r="P165" s="150">
        <f>+IF($B165="","",SUM($O$143:$O165))</f>
        <v>0</v>
      </c>
    </row>
    <row r="166" spans="2:16" ht="15">
      <c r="B166" s="142">
        <f t="shared" si="27"/>
        <v>2046</v>
      </c>
      <c r="C166" s="147">
        <f t="shared" si="28"/>
        <v>0</v>
      </c>
      <c r="D166" s="147">
        <f t="shared" si="28"/>
        <v>0</v>
      </c>
      <c r="E166" s="147">
        <f t="shared" si="28"/>
        <v>0</v>
      </c>
      <c r="F166" s="147">
        <f t="shared" si="28"/>
        <v>0</v>
      </c>
      <c r="G166" s="147">
        <f t="shared" si="28"/>
        <v>0</v>
      </c>
      <c r="H166" s="147">
        <f t="shared" si="28"/>
        <v>0</v>
      </c>
      <c r="I166" s="147">
        <f t="shared" si="25"/>
        <v>0</v>
      </c>
      <c r="J166" s="147">
        <f t="shared" si="25"/>
        <v>0</v>
      </c>
      <c r="K166" s="147">
        <f t="shared" si="25"/>
        <v>0</v>
      </c>
      <c r="L166" s="147">
        <f t="shared" si="25"/>
        <v>0</v>
      </c>
      <c r="M166" s="147">
        <f t="shared" si="25"/>
        <v>0</v>
      </c>
      <c r="N166" s="147">
        <f t="shared" si="25"/>
        <v>0</v>
      </c>
      <c r="O166" s="150">
        <f t="shared" si="26"/>
        <v>0</v>
      </c>
      <c r="P166" s="150">
        <f>+IF($B166="","",SUM($O$143:$O166))</f>
        <v>0</v>
      </c>
    </row>
    <row r="167" spans="2:16" ht="15">
      <c r="B167" s="142">
        <f t="shared" si="27"/>
        <v>2047</v>
      </c>
      <c r="C167" s="147">
        <f t="shared" si="28"/>
        <v>0</v>
      </c>
      <c r="D167" s="147">
        <f t="shared" si="28"/>
        <v>0</v>
      </c>
      <c r="E167" s="147">
        <f t="shared" si="28"/>
        <v>0</v>
      </c>
      <c r="F167" s="147">
        <f t="shared" si="28"/>
        <v>0</v>
      </c>
      <c r="G167" s="147">
        <f t="shared" si="28"/>
        <v>0</v>
      </c>
      <c r="H167" s="147">
        <f t="shared" si="28"/>
        <v>0</v>
      </c>
      <c r="I167" s="147">
        <f t="shared" si="25"/>
        <v>0</v>
      </c>
      <c r="J167" s="147">
        <f t="shared" si="25"/>
        <v>0</v>
      </c>
      <c r="K167" s="147">
        <f t="shared" si="25"/>
        <v>0</v>
      </c>
      <c r="L167" s="147">
        <f t="shared" si="25"/>
        <v>0</v>
      </c>
      <c r="M167" s="147">
        <f t="shared" si="25"/>
        <v>0</v>
      </c>
      <c r="N167" s="147">
        <f t="shared" si="25"/>
        <v>0</v>
      </c>
      <c r="O167" s="150">
        <f t="shared" si="26"/>
        <v>0</v>
      </c>
      <c r="P167" s="150">
        <f>+IF($B167="","",SUM($O$143:$O167))</f>
        <v>0</v>
      </c>
    </row>
    <row r="168" spans="2:16" ht="15">
      <c r="B168" s="142">
        <f t="shared" si="27"/>
        <v>2048</v>
      </c>
      <c r="C168" s="147">
        <f t="shared" si="28"/>
        <v>0</v>
      </c>
      <c r="D168" s="147">
        <f t="shared" si="28"/>
        <v>0</v>
      </c>
      <c r="E168" s="147">
        <f t="shared" si="28"/>
        <v>0</v>
      </c>
      <c r="F168" s="147">
        <f t="shared" si="28"/>
        <v>0</v>
      </c>
      <c r="G168" s="147">
        <f t="shared" si="28"/>
        <v>0</v>
      </c>
      <c r="H168" s="147">
        <f t="shared" si="28"/>
        <v>0</v>
      </c>
      <c r="I168" s="147">
        <f t="shared" si="25"/>
        <v>0</v>
      </c>
      <c r="J168" s="147">
        <f t="shared" si="25"/>
        <v>0</v>
      </c>
      <c r="K168" s="147">
        <f t="shared" si="25"/>
        <v>0</v>
      </c>
      <c r="L168" s="147">
        <f t="shared" si="25"/>
        <v>0</v>
      </c>
      <c r="M168" s="147">
        <f t="shared" si="25"/>
        <v>0</v>
      </c>
      <c r="N168" s="147">
        <f t="shared" si="25"/>
        <v>0</v>
      </c>
      <c r="O168" s="150">
        <f t="shared" si="26"/>
        <v>0</v>
      </c>
      <c r="P168" s="150">
        <f>+IF($B168="","",SUM($O$143:$O168))</f>
        <v>0</v>
      </c>
    </row>
    <row r="169" spans="2:16" ht="15">
      <c r="B169" s="142">
        <f t="shared" si="27"/>
        <v>2049</v>
      </c>
      <c r="C169" s="147">
        <f t="shared" si="28"/>
        <v>0</v>
      </c>
      <c r="D169" s="147">
        <f t="shared" si="28"/>
        <v>0</v>
      </c>
      <c r="E169" s="147">
        <f t="shared" si="28"/>
        <v>0</v>
      </c>
      <c r="F169" s="147">
        <f t="shared" si="28"/>
        <v>0</v>
      </c>
      <c r="G169" s="147">
        <f t="shared" si="28"/>
        <v>0</v>
      </c>
      <c r="H169" s="147">
        <f t="shared" si="28"/>
        <v>0</v>
      </c>
      <c r="I169" s="147">
        <f t="shared" si="25"/>
        <v>0</v>
      </c>
      <c r="J169" s="147">
        <f t="shared" si="25"/>
        <v>0</v>
      </c>
      <c r="K169" s="147">
        <f t="shared" si="25"/>
        <v>0</v>
      </c>
      <c r="L169" s="147">
        <f t="shared" si="25"/>
        <v>0</v>
      </c>
      <c r="M169" s="147">
        <f t="shared" si="25"/>
        <v>0</v>
      </c>
      <c r="N169" s="147">
        <f t="shared" si="25"/>
        <v>0</v>
      </c>
      <c r="O169" s="150">
        <f t="shared" si="26"/>
        <v>0</v>
      </c>
      <c r="P169" s="150">
        <f>+IF($B169="","",SUM($O$143:$O169))</f>
        <v>0</v>
      </c>
    </row>
    <row r="170" spans="2:16" ht="15">
      <c r="B170" s="142">
        <f t="shared" si="27"/>
        <v>2050</v>
      </c>
      <c r="C170" s="147">
        <f t="shared" si="28"/>
        <v>0</v>
      </c>
      <c r="D170" s="147">
        <f t="shared" si="28"/>
        <v>0</v>
      </c>
      <c r="E170" s="147">
        <f t="shared" si="28"/>
        <v>0</v>
      </c>
      <c r="F170" s="147">
        <f t="shared" si="28"/>
        <v>0</v>
      </c>
      <c r="G170" s="147">
        <f t="shared" si="28"/>
        <v>0</v>
      </c>
      <c r="H170" s="147">
        <f t="shared" si="28"/>
        <v>0</v>
      </c>
      <c r="I170" s="147">
        <f t="shared" si="25"/>
        <v>0</v>
      </c>
      <c r="J170" s="147">
        <f t="shared" si="25"/>
        <v>0</v>
      </c>
      <c r="K170" s="147">
        <f t="shared" si="25"/>
        <v>0</v>
      </c>
      <c r="L170" s="147">
        <f t="shared" si="25"/>
        <v>0</v>
      </c>
      <c r="M170" s="147">
        <f t="shared" si="25"/>
        <v>0</v>
      </c>
      <c r="N170" s="147">
        <f t="shared" si="25"/>
        <v>0</v>
      </c>
      <c r="O170" s="150">
        <f t="shared" si="26"/>
        <v>0</v>
      </c>
      <c r="P170" s="150">
        <f>+IF($B170="","",SUM($O$143:$O170))</f>
        <v>0</v>
      </c>
    </row>
    <row r="171" spans="2:16" ht="15">
      <c r="B171" s="142">
        <f t="shared" si="27"/>
        <v>2051</v>
      </c>
      <c r="C171" s="147">
        <f t="shared" si="28"/>
        <v>0</v>
      </c>
      <c r="D171" s="147">
        <f t="shared" si="28"/>
        <v>0</v>
      </c>
      <c r="E171" s="147">
        <f t="shared" si="28"/>
        <v>0</v>
      </c>
      <c r="F171" s="147">
        <f t="shared" si="28"/>
        <v>0</v>
      </c>
      <c r="G171" s="147">
        <f t="shared" si="28"/>
        <v>0</v>
      </c>
      <c r="H171" s="147">
        <f t="shared" si="28"/>
        <v>0</v>
      </c>
      <c r="I171" s="147">
        <f t="shared" si="25"/>
        <v>0</v>
      </c>
      <c r="J171" s="147">
        <f t="shared" si="25"/>
        <v>0</v>
      </c>
      <c r="K171" s="147">
        <f t="shared" si="25"/>
        <v>0</v>
      </c>
      <c r="L171" s="147">
        <f t="shared" si="25"/>
        <v>0</v>
      </c>
      <c r="M171" s="147">
        <f t="shared" si="25"/>
        <v>0</v>
      </c>
      <c r="N171" s="147">
        <f t="shared" si="25"/>
        <v>0</v>
      </c>
      <c r="O171" s="150">
        <f t="shared" si="26"/>
        <v>0</v>
      </c>
      <c r="P171" s="150">
        <f>+IF($B171="","",SUM($O$143:$O171))</f>
        <v>0</v>
      </c>
    </row>
    <row r="172" spans="2:16" ht="15">
      <c r="B172" s="142">
        <f t="shared" si="27"/>
        <v>2052</v>
      </c>
      <c r="C172" s="147">
        <f t="shared" si="28"/>
        <v>0</v>
      </c>
      <c r="D172" s="147">
        <f t="shared" si="28"/>
        <v>0</v>
      </c>
      <c r="E172" s="147">
        <f t="shared" si="28"/>
        <v>0</v>
      </c>
      <c r="F172" s="147">
        <f t="shared" si="28"/>
        <v>0</v>
      </c>
      <c r="G172" s="147">
        <f t="shared" si="28"/>
        <v>0</v>
      </c>
      <c r="H172" s="147">
        <f t="shared" si="28"/>
        <v>0</v>
      </c>
      <c r="I172" s="147">
        <f t="shared" si="25"/>
        <v>0</v>
      </c>
      <c r="J172" s="147">
        <f t="shared" si="25"/>
        <v>0</v>
      </c>
      <c r="K172" s="147">
        <f t="shared" si="25"/>
        <v>0</v>
      </c>
      <c r="L172" s="147">
        <f t="shared" si="25"/>
        <v>0</v>
      </c>
      <c r="M172" s="147">
        <f t="shared" si="25"/>
        <v>0</v>
      </c>
      <c r="N172" s="147">
        <f t="shared" si="25"/>
        <v>0</v>
      </c>
      <c r="O172" s="150">
        <f t="shared" si="26"/>
        <v>0</v>
      </c>
      <c r="P172" s="150">
        <f>+IF($B172="","",SUM($O$143:$O172))</f>
        <v>0</v>
      </c>
    </row>
    <row r="173" spans="2:16" ht="15">
      <c r="B173" s="142">
        <f t="shared" si="27"/>
        <v>2053</v>
      </c>
      <c r="C173" s="147">
        <f t="shared" si="28"/>
        <v>0</v>
      </c>
      <c r="D173" s="147">
        <f t="shared" si="28"/>
        <v>0</v>
      </c>
      <c r="E173" s="147">
        <f t="shared" si="28"/>
        <v>0</v>
      </c>
      <c r="F173" s="147">
        <f t="shared" si="28"/>
        <v>0</v>
      </c>
      <c r="G173" s="147">
        <f t="shared" si="28"/>
        <v>0</v>
      </c>
      <c r="H173" s="147">
        <f t="shared" si="28"/>
        <v>0</v>
      </c>
      <c r="I173" s="147">
        <f t="shared" si="25"/>
        <v>0</v>
      </c>
      <c r="J173" s="147">
        <f t="shared" si="25"/>
        <v>0</v>
      </c>
      <c r="K173" s="147">
        <f t="shared" si="25"/>
        <v>0</v>
      </c>
      <c r="L173" s="147">
        <f t="shared" si="25"/>
        <v>0</v>
      </c>
      <c r="M173" s="147">
        <f t="shared" si="25"/>
        <v>0</v>
      </c>
      <c r="N173" s="147">
        <f t="shared" si="25"/>
        <v>0</v>
      </c>
      <c r="O173" s="150">
        <f t="shared" si="26"/>
        <v>0</v>
      </c>
      <c r="P173" s="150">
        <f>+IF($B173="","",SUM($O$143:$O173))</f>
        <v>0</v>
      </c>
    </row>
    <row r="174" spans="2:16" ht="15">
      <c r="B174" s="142">
        <f t="shared" si="27"/>
        <v>2054</v>
      </c>
      <c r="C174" s="147">
        <f t="shared" si="28"/>
        <v>0</v>
      </c>
      <c r="D174" s="147">
        <f t="shared" si="28"/>
        <v>0</v>
      </c>
      <c r="E174" s="147">
        <f t="shared" si="28"/>
        <v>0</v>
      </c>
      <c r="F174" s="147">
        <f t="shared" si="28"/>
        <v>0</v>
      </c>
      <c r="G174" s="147">
        <f t="shared" si="28"/>
        <v>0</v>
      </c>
      <c r="H174" s="147">
        <f t="shared" si="28"/>
        <v>0</v>
      </c>
      <c r="I174" s="147">
        <f t="shared" si="25"/>
        <v>0</v>
      </c>
      <c r="J174" s="147">
        <f t="shared" si="25"/>
        <v>0</v>
      </c>
      <c r="K174" s="147">
        <f t="shared" si="25"/>
        <v>0</v>
      </c>
      <c r="L174" s="147">
        <f t="shared" si="25"/>
        <v>0</v>
      </c>
      <c r="M174" s="147">
        <f t="shared" si="25"/>
        <v>0</v>
      </c>
      <c r="N174" s="147">
        <f t="shared" si="25"/>
        <v>0</v>
      </c>
      <c r="O174" s="150">
        <f t="shared" si="26"/>
        <v>0</v>
      </c>
      <c r="P174" s="150">
        <f>+IF($B174="","",SUM($O$143:$O174))</f>
        <v>0</v>
      </c>
    </row>
    <row r="175" spans="2:16" ht="15">
      <c r="B175" s="142">
        <f t="shared" si="27"/>
        <v>2055</v>
      </c>
      <c r="C175" s="147">
        <f t="shared" ref="C175:H190" si="29">+IF($B175="","",C46-I46-C112-I112-O112)</f>
        <v>0</v>
      </c>
      <c r="D175" s="147">
        <f t="shared" si="29"/>
        <v>0</v>
      </c>
      <c r="E175" s="147">
        <f t="shared" si="29"/>
        <v>0</v>
      </c>
      <c r="F175" s="147">
        <f t="shared" si="29"/>
        <v>0</v>
      </c>
      <c r="G175" s="147">
        <f t="shared" si="29"/>
        <v>0</v>
      </c>
      <c r="H175" s="147">
        <f t="shared" si="29"/>
        <v>0</v>
      </c>
      <c r="I175" s="147">
        <f t="shared" ref="I175:N202" si="30">+IF($B175="","",C175/(1+$K$8)^($B175-$B$143+1))</f>
        <v>0</v>
      </c>
      <c r="J175" s="147">
        <f t="shared" si="30"/>
        <v>0</v>
      </c>
      <c r="K175" s="147">
        <f t="shared" si="30"/>
        <v>0</v>
      </c>
      <c r="L175" s="147">
        <f t="shared" si="30"/>
        <v>0</v>
      </c>
      <c r="M175" s="147">
        <f t="shared" si="30"/>
        <v>0</v>
      </c>
      <c r="N175" s="147">
        <f t="shared" si="30"/>
        <v>0</v>
      </c>
      <c r="O175" s="150">
        <f t="shared" si="26"/>
        <v>0</v>
      </c>
      <c r="P175" s="150">
        <f>+IF($B175="","",SUM($O$143:$O175))</f>
        <v>0</v>
      </c>
    </row>
    <row r="176" spans="2:16" ht="15">
      <c r="B176" s="142">
        <f t="shared" si="27"/>
        <v>2056</v>
      </c>
      <c r="C176" s="147">
        <f t="shared" si="29"/>
        <v>0</v>
      </c>
      <c r="D176" s="147">
        <f t="shared" si="29"/>
        <v>0</v>
      </c>
      <c r="E176" s="147">
        <f t="shared" si="29"/>
        <v>0</v>
      </c>
      <c r="F176" s="147">
        <f t="shared" si="29"/>
        <v>0</v>
      </c>
      <c r="G176" s="147">
        <f t="shared" si="29"/>
        <v>0</v>
      </c>
      <c r="H176" s="147">
        <f t="shared" si="29"/>
        <v>0</v>
      </c>
      <c r="I176" s="147">
        <f t="shared" si="30"/>
        <v>0</v>
      </c>
      <c r="J176" s="147">
        <f t="shared" si="30"/>
        <v>0</v>
      </c>
      <c r="K176" s="147">
        <f t="shared" si="30"/>
        <v>0</v>
      </c>
      <c r="L176" s="147">
        <f t="shared" si="30"/>
        <v>0</v>
      </c>
      <c r="M176" s="147">
        <f t="shared" si="30"/>
        <v>0</v>
      </c>
      <c r="N176" s="147">
        <f t="shared" si="30"/>
        <v>0</v>
      </c>
      <c r="O176" s="150">
        <f t="shared" si="26"/>
        <v>0</v>
      </c>
      <c r="P176" s="150">
        <f>+IF($B176="","",SUM($O$143:$O176))</f>
        <v>0</v>
      </c>
    </row>
    <row r="177" spans="2:16" ht="15">
      <c r="B177" s="142">
        <f t="shared" si="27"/>
        <v>2057</v>
      </c>
      <c r="C177" s="147">
        <f t="shared" si="29"/>
        <v>0</v>
      </c>
      <c r="D177" s="147">
        <f t="shared" si="29"/>
        <v>0</v>
      </c>
      <c r="E177" s="147">
        <f t="shared" si="29"/>
        <v>0</v>
      </c>
      <c r="F177" s="147">
        <f t="shared" si="29"/>
        <v>0</v>
      </c>
      <c r="G177" s="147">
        <f t="shared" si="29"/>
        <v>0</v>
      </c>
      <c r="H177" s="147">
        <f t="shared" si="29"/>
        <v>0</v>
      </c>
      <c r="I177" s="147">
        <f t="shared" si="30"/>
        <v>0</v>
      </c>
      <c r="J177" s="147">
        <f t="shared" si="30"/>
        <v>0</v>
      </c>
      <c r="K177" s="147">
        <f t="shared" si="30"/>
        <v>0</v>
      </c>
      <c r="L177" s="147">
        <f t="shared" si="30"/>
        <v>0</v>
      </c>
      <c r="M177" s="147">
        <f t="shared" si="30"/>
        <v>0</v>
      </c>
      <c r="N177" s="147">
        <f t="shared" si="30"/>
        <v>0</v>
      </c>
      <c r="O177" s="150">
        <f t="shared" si="26"/>
        <v>0</v>
      </c>
      <c r="P177" s="150">
        <f>+IF($B177="","",SUM($O$143:$O177))</f>
        <v>0</v>
      </c>
    </row>
    <row r="178" spans="2:16" ht="15">
      <c r="B178" s="142">
        <f t="shared" si="27"/>
        <v>2058</v>
      </c>
      <c r="C178" s="147">
        <f t="shared" si="29"/>
        <v>0</v>
      </c>
      <c r="D178" s="147">
        <f t="shared" si="29"/>
        <v>0</v>
      </c>
      <c r="E178" s="147">
        <f t="shared" si="29"/>
        <v>0</v>
      </c>
      <c r="F178" s="147">
        <f t="shared" si="29"/>
        <v>0</v>
      </c>
      <c r="G178" s="147">
        <f t="shared" si="29"/>
        <v>0</v>
      </c>
      <c r="H178" s="147">
        <f t="shared" si="29"/>
        <v>0</v>
      </c>
      <c r="I178" s="147">
        <f t="shared" si="30"/>
        <v>0</v>
      </c>
      <c r="J178" s="147">
        <f t="shared" si="30"/>
        <v>0</v>
      </c>
      <c r="K178" s="147">
        <f t="shared" si="30"/>
        <v>0</v>
      </c>
      <c r="L178" s="147">
        <f t="shared" si="30"/>
        <v>0</v>
      </c>
      <c r="M178" s="147">
        <f t="shared" si="30"/>
        <v>0</v>
      </c>
      <c r="N178" s="147">
        <f t="shared" si="30"/>
        <v>0</v>
      </c>
      <c r="O178" s="150">
        <f t="shared" si="26"/>
        <v>0</v>
      </c>
      <c r="P178" s="150">
        <f>+IF($B178="","",SUM($O$143:$O178))</f>
        <v>0</v>
      </c>
    </row>
    <row r="179" spans="2:16" ht="15">
      <c r="B179" s="142">
        <f t="shared" si="27"/>
        <v>2059</v>
      </c>
      <c r="C179" s="147">
        <f t="shared" si="29"/>
        <v>0</v>
      </c>
      <c r="D179" s="147">
        <f t="shared" si="29"/>
        <v>0</v>
      </c>
      <c r="E179" s="147">
        <f t="shared" si="29"/>
        <v>0</v>
      </c>
      <c r="F179" s="147">
        <f t="shared" si="29"/>
        <v>0</v>
      </c>
      <c r="G179" s="147">
        <f t="shared" si="29"/>
        <v>0</v>
      </c>
      <c r="H179" s="147">
        <f t="shared" si="29"/>
        <v>0</v>
      </c>
      <c r="I179" s="147">
        <f t="shared" si="30"/>
        <v>0</v>
      </c>
      <c r="J179" s="147">
        <f t="shared" si="30"/>
        <v>0</v>
      </c>
      <c r="K179" s="147">
        <f t="shared" si="30"/>
        <v>0</v>
      </c>
      <c r="L179" s="147">
        <f t="shared" si="30"/>
        <v>0</v>
      </c>
      <c r="M179" s="147">
        <f t="shared" si="30"/>
        <v>0</v>
      </c>
      <c r="N179" s="147">
        <f t="shared" si="30"/>
        <v>0</v>
      </c>
      <c r="O179" s="150">
        <f t="shared" si="26"/>
        <v>0</v>
      </c>
      <c r="P179" s="150">
        <f>+IF($B179="","",SUM($O$143:$O179))</f>
        <v>0</v>
      </c>
    </row>
    <row r="180" spans="2:16" ht="15">
      <c r="B180" s="142">
        <f t="shared" si="27"/>
        <v>2060</v>
      </c>
      <c r="C180" s="147">
        <f t="shared" si="29"/>
        <v>0</v>
      </c>
      <c r="D180" s="147">
        <f t="shared" si="29"/>
        <v>0</v>
      </c>
      <c r="E180" s="147">
        <f t="shared" si="29"/>
        <v>0</v>
      </c>
      <c r="F180" s="147">
        <f t="shared" si="29"/>
        <v>0</v>
      </c>
      <c r="G180" s="147">
        <f t="shared" si="29"/>
        <v>0</v>
      </c>
      <c r="H180" s="147">
        <f t="shared" si="29"/>
        <v>0</v>
      </c>
      <c r="I180" s="147">
        <f t="shared" si="30"/>
        <v>0</v>
      </c>
      <c r="J180" s="147">
        <f t="shared" si="30"/>
        <v>0</v>
      </c>
      <c r="K180" s="147">
        <f t="shared" si="30"/>
        <v>0</v>
      </c>
      <c r="L180" s="147">
        <f t="shared" si="30"/>
        <v>0</v>
      </c>
      <c r="M180" s="147">
        <f t="shared" si="30"/>
        <v>0</v>
      </c>
      <c r="N180" s="147">
        <f t="shared" si="30"/>
        <v>0</v>
      </c>
      <c r="O180" s="150">
        <f t="shared" si="26"/>
        <v>0</v>
      </c>
      <c r="P180" s="150">
        <f>+IF($B180="","",SUM($O$143:$O180))</f>
        <v>0</v>
      </c>
    </row>
    <row r="181" spans="2:16" ht="15">
      <c r="B181" s="142">
        <f t="shared" si="27"/>
        <v>2061</v>
      </c>
      <c r="C181" s="147">
        <f t="shared" si="29"/>
        <v>0</v>
      </c>
      <c r="D181" s="147">
        <f t="shared" si="29"/>
        <v>0</v>
      </c>
      <c r="E181" s="147">
        <f t="shared" si="29"/>
        <v>0</v>
      </c>
      <c r="F181" s="147">
        <f t="shared" si="29"/>
        <v>0</v>
      </c>
      <c r="G181" s="147">
        <f t="shared" si="29"/>
        <v>0</v>
      </c>
      <c r="H181" s="147">
        <f t="shared" si="29"/>
        <v>0</v>
      </c>
      <c r="I181" s="147">
        <f t="shared" si="30"/>
        <v>0</v>
      </c>
      <c r="J181" s="147">
        <f t="shared" si="30"/>
        <v>0</v>
      </c>
      <c r="K181" s="147">
        <f t="shared" si="30"/>
        <v>0</v>
      </c>
      <c r="L181" s="147">
        <f t="shared" si="30"/>
        <v>0</v>
      </c>
      <c r="M181" s="147">
        <f t="shared" si="30"/>
        <v>0</v>
      </c>
      <c r="N181" s="147">
        <f t="shared" si="30"/>
        <v>0</v>
      </c>
      <c r="O181" s="150">
        <f t="shared" si="26"/>
        <v>0</v>
      </c>
      <c r="P181" s="150">
        <f>+IF($B181="","",SUM($O$143:$O181))</f>
        <v>0</v>
      </c>
    </row>
    <row r="182" spans="2:16" ht="15">
      <c r="B182" s="142">
        <f t="shared" si="27"/>
        <v>2062</v>
      </c>
      <c r="C182" s="147">
        <f t="shared" si="29"/>
        <v>0</v>
      </c>
      <c r="D182" s="147">
        <f t="shared" si="29"/>
        <v>0</v>
      </c>
      <c r="E182" s="147">
        <f t="shared" si="29"/>
        <v>0</v>
      </c>
      <c r="F182" s="147">
        <f t="shared" si="29"/>
        <v>0</v>
      </c>
      <c r="G182" s="147">
        <f t="shared" si="29"/>
        <v>0</v>
      </c>
      <c r="H182" s="147">
        <f t="shared" si="29"/>
        <v>0</v>
      </c>
      <c r="I182" s="147">
        <f t="shared" si="30"/>
        <v>0</v>
      </c>
      <c r="J182" s="147">
        <f t="shared" si="30"/>
        <v>0</v>
      </c>
      <c r="K182" s="147">
        <f t="shared" si="30"/>
        <v>0</v>
      </c>
      <c r="L182" s="147">
        <f t="shared" si="30"/>
        <v>0</v>
      </c>
      <c r="M182" s="147">
        <f t="shared" si="30"/>
        <v>0</v>
      </c>
      <c r="N182" s="147">
        <f t="shared" si="30"/>
        <v>0</v>
      </c>
      <c r="O182" s="150">
        <f t="shared" si="26"/>
        <v>0</v>
      </c>
      <c r="P182" s="150">
        <f>+IF($B182="","",SUM($O$143:$O182))</f>
        <v>0</v>
      </c>
    </row>
    <row r="183" spans="2:16" ht="15">
      <c r="B183" s="142">
        <f t="shared" si="27"/>
        <v>2063</v>
      </c>
      <c r="C183" s="147">
        <f t="shared" si="29"/>
        <v>0</v>
      </c>
      <c r="D183" s="147">
        <f t="shared" si="29"/>
        <v>0</v>
      </c>
      <c r="E183" s="147">
        <f t="shared" si="29"/>
        <v>0</v>
      </c>
      <c r="F183" s="147">
        <f t="shared" si="29"/>
        <v>0</v>
      </c>
      <c r="G183" s="147">
        <f t="shared" si="29"/>
        <v>0</v>
      </c>
      <c r="H183" s="147">
        <f t="shared" si="29"/>
        <v>0</v>
      </c>
      <c r="I183" s="147">
        <f t="shared" si="30"/>
        <v>0</v>
      </c>
      <c r="J183" s="147">
        <f t="shared" si="30"/>
        <v>0</v>
      </c>
      <c r="K183" s="147">
        <f t="shared" si="30"/>
        <v>0</v>
      </c>
      <c r="L183" s="147">
        <f t="shared" si="30"/>
        <v>0</v>
      </c>
      <c r="M183" s="147">
        <f t="shared" si="30"/>
        <v>0</v>
      </c>
      <c r="N183" s="147">
        <f t="shared" si="30"/>
        <v>0</v>
      </c>
      <c r="O183" s="150">
        <f t="shared" si="26"/>
        <v>0</v>
      </c>
      <c r="P183" s="150">
        <f>+IF($B183="","",SUM($O$143:$O183))</f>
        <v>0</v>
      </c>
    </row>
    <row r="184" spans="2:16" ht="15">
      <c r="B184" s="142">
        <f t="shared" si="27"/>
        <v>2064</v>
      </c>
      <c r="C184" s="147">
        <f t="shared" si="29"/>
        <v>0</v>
      </c>
      <c r="D184" s="147">
        <f t="shared" si="29"/>
        <v>0</v>
      </c>
      <c r="E184" s="147">
        <f t="shared" si="29"/>
        <v>0</v>
      </c>
      <c r="F184" s="147">
        <f t="shared" si="29"/>
        <v>0</v>
      </c>
      <c r="G184" s="147">
        <f t="shared" si="29"/>
        <v>0</v>
      </c>
      <c r="H184" s="147">
        <f t="shared" si="29"/>
        <v>0</v>
      </c>
      <c r="I184" s="147">
        <f t="shared" si="30"/>
        <v>0</v>
      </c>
      <c r="J184" s="147">
        <f t="shared" si="30"/>
        <v>0</v>
      </c>
      <c r="K184" s="147">
        <f t="shared" si="30"/>
        <v>0</v>
      </c>
      <c r="L184" s="147">
        <f t="shared" si="30"/>
        <v>0</v>
      </c>
      <c r="M184" s="147">
        <f t="shared" si="30"/>
        <v>0</v>
      </c>
      <c r="N184" s="147">
        <f t="shared" si="30"/>
        <v>0</v>
      </c>
      <c r="O184" s="150">
        <f t="shared" si="26"/>
        <v>0</v>
      </c>
      <c r="P184" s="150">
        <f>+IF($B184="","",SUM($O$143:$O184))</f>
        <v>0</v>
      </c>
    </row>
    <row r="185" spans="2:16" ht="15">
      <c r="B185" s="142">
        <f t="shared" si="27"/>
        <v>2065</v>
      </c>
      <c r="C185" s="147">
        <f t="shared" si="29"/>
        <v>0</v>
      </c>
      <c r="D185" s="147">
        <f t="shared" si="29"/>
        <v>0</v>
      </c>
      <c r="E185" s="147">
        <f t="shared" si="29"/>
        <v>0</v>
      </c>
      <c r="F185" s="147">
        <f t="shared" si="29"/>
        <v>0</v>
      </c>
      <c r="G185" s="147">
        <f t="shared" si="29"/>
        <v>0</v>
      </c>
      <c r="H185" s="147">
        <f t="shared" si="29"/>
        <v>0</v>
      </c>
      <c r="I185" s="147">
        <f t="shared" si="30"/>
        <v>0</v>
      </c>
      <c r="J185" s="147">
        <f t="shared" si="30"/>
        <v>0</v>
      </c>
      <c r="K185" s="147">
        <f t="shared" si="30"/>
        <v>0</v>
      </c>
      <c r="L185" s="147">
        <f t="shared" si="30"/>
        <v>0</v>
      </c>
      <c r="M185" s="147">
        <f t="shared" si="30"/>
        <v>0</v>
      </c>
      <c r="N185" s="147">
        <f t="shared" si="30"/>
        <v>0</v>
      </c>
      <c r="O185" s="150">
        <f t="shared" si="26"/>
        <v>0</v>
      </c>
      <c r="P185" s="150">
        <f>+IF($B185="","",SUM($O$143:$O185))</f>
        <v>0</v>
      </c>
    </row>
    <row r="186" spans="2:16" ht="15">
      <c r="B186" s="142">
        <f t="shared" si="27"/>
        <v>2066</v>
      </c>
      <c r="C186" s="147">
        <f t="shared" si="29"/>
        <v>0</v>
      </c>
      <c r="D186" s="147">
        <f t="shared" si="29"/>
        <v>0</v>
      </c>
      <c r="E186" s="147">
        <f t="shared" si="29"/>
        <v>0</v>
      </c>
      <c r="F186" s="147">
        <f t="shared" si="29"/>
        <v>0</v>
      </c>
      <c r="G186" s="147">
        <f t="shared" si="29"/>
        <v>0</v>
      </c>
      <c r="H186" s="147">
        <f t="shared" si="29"/>
        <v>0</v>
      </c>
      <c r="I186" s="147">
        <f t="shared" si="30"/>
        <v>0</v>
      </c>
      <c r="J186" s="147">
        <f t="shared" si="30"/>
        <v>0</v>
      </c>
      <c r="K186" s="147">
        <f t="shared" si="30"/>
        <v>0</v>
      </c>
      <c r="L186" s="147">
        <f t="shared" si="30"/>
        <v>0</v>
      </c>
      <c r="M186" s="147">
        <f t="shared" si="30"/>
        <v>0</v>
      </c>
      <c r="N186" s="147">
        <f t="shared" si="30"/>
        <v>0</v>
      </c>
      <c r="O186" s="150">
        <f t="shared" si="26"/>
        <v>0</v>
      </c>
      <c r="P186" s="150">
        <f>+IF($B186="","",SUM($O$143:$O186))</f>
        <v>0</v>
      </c>
    </row>
    <row r="187" spans="2:16" ht="15">
      <c r="B187" s="142">
        <f t="shared" si="27"/>
        <v>2067</v>
      </c>
      <c r="C187" s="147">
        <f t="shared" si="29"/>
        <v>0</v>
      </c>
      <c r="D187" s="147">
        <f t="shared" si="29"/>
        <v>0</v>
      </c>
      <c r="E187" s="147">
        <f t="shared" si="29"/>
        <v>0</v>
      </c>
      <c r="F187" s="147">
        <f t="shared" si="29"/>
        <v>0</v>
      </c>
      <c r="G187" s="147">
        <f t="shared" si="29"/>
        <v>0</v>
      </c>
      <c r="H187" s="147">
        <f t="shared" si="29"/>
        <v>0</v>
      </c>
      <c r="I187" s="147">
        <f t="shared" si="30"/>
        <v>0</v>
      </c>
      <c r="J187" s="147">
        <f t="shared" si="30"/>
        <v>0</v>
      </c>
      <c r="K187" s="147">
        <f t="shared" si="30"/>
        <v>0</v>
      </c>
      <c r="L187" s="147">
        <f t="shared" si="30"/>
        <v>0</v>
      </c>
      <c r="M187" s="147">
        <f t="shared" si="30"/>
        <v>0</v>
      </c>
      <c r="N187" s="147">
        <f t="shared" si="30"/>
        <v>0</v>
      </c>
      <c r="O187" s="150">
        <f t="shared" si="26"/>
        <v>0</v>
      </c>
      <c r="P187" s="150">
        <f>+IF($B187="","",SUM($O$143:$O187))</f>
        <v>0</v>
      </c>
    </row>
    <row r="188" spans="2:16" ht="15">
      <c r="B188" s="142">
        <f t="shared" si="27"/>
        <v>2068</v>
      </c>
      <c r="C188" s="147">
        <f t="shared" si="29"/>
        <v>0</v>
      </c>
      <c r="D188" s="147">
        <f t="shared" si="29"/>
        <v>0</v>
      </c>
      <c r="E188" s="147">
        <f t="shared" si="29"/>
        <v>0</v>
      </c>
      <c r="F188" s="147">
        <f t="shared" si="29"/>
        <v>0</v>
      </c>
      <c r="G188" s="147">
        <f t="shared" si="29"/>
        <v>0</v>
      </c>
      <c r="H188" s="147">
        <f t="shared" si="29"/>
        <v>0</v>
      </c>
      <c r="I188" s="147">
        <f t="shared" si="30"/>
        <v>0</v>
      </c>
      <c r="J188" s="147">
        <f t="shared" si="30"/>
        <v>0</v>
      </c>
      <c r="K188" s="147">
        <f t="shared" si="30"/>
        <v>0</v>
      </c>
      <c r="L188" s="147">
        <f t="shared" si="30"/>
        <v>0</v>
      </c>
      <c r="M188" s="147">
        <f t="shared" si="30"/>
        <v>0</v>
      </c>
      <c r="N188" s="147">
        <f t="shared" si="30"/>
        <v>0</v>
      </c>
      <c r="O188" s="150">
        <f t="shared" si="26"/>
        <v>0</v>
      </c>
      <c r="P188" s="150">
        <f>+IF($B188="","",SUM($O$143:$O188))</f>
        <v>0</v>
      </c>
    </row>
    <row r="189" spans="2:16" ht="15">
      <c r="B189" s="142">
        <f t="shared" si="27"/>
        <v>2069</v>
      </c>
      <c r="C189" s="147">
        <f t="shared" si="29"/>
        <v>0</v>
      </c>
      <c r="D189" s="147">
        <f t="shared" si="29"/>
        <v>0</v>
      </c>
      <c r="E189" s="147">
        <f t="shared" si="29"/>
        <v>0</v>
      </c>
      <c r="F189" s="147">
        <f t="shared" si="29"/>
        <v>0</v>
      </c>
      <c r="G189" s="147">
        <f t="shared" si="29"/>
        <v>0</v>
      </c>
      <c r="H189" s="147">
        <f t="shared" si="29"/>
        <v>0</v>
      </c>
      <c r="I189" s="147">
        <f t="shared" si="30"/>
        <v>0</v>
      </c>
      <c r="J189" s="147">
        <f t="shared" si="30"/>
        <v>0</v>
      </c>
      <c r="K189" s="147">
        <f t="shared" si="30"/>
        <v>0</v>
      </c>
      <c r="L189" s="147">
        <f t="shared" si="30"/>
        <v>0</v>
      </c>
      <c r="M189" s="147">
        <f t="shared" si="30"/>
        <v>0</v>
      </c>
      <c r="N189" s="147">
        <f t="shared" si="30"/>
        <v>0</v>
      </c>
      <c r="O189" s="150">
        <f t="shared" si="26"/>
        <v>0</v>
      </c>
      <c r="P189" s="150">
        <f>+IF($B189="","",SUM($O$143:$O189))</f>
        <v>0</v>
      </c>
    </row>
    <row r="190" spans="2:16" ht="15">
      <c r="B190" s="142">
        <f t="shared" si="27"/>
        <v>2070</v>
      </c>
      <c r="C190" s="147">
        <f t="shared" si="29"/>
        <v>0</v>
      </c>
      <c r="D190" s="147">
        <f t="shared" si="29"/>
        <v>0</v>
      </c>
      <c r="E190" s="147">
        <f t="shared" si="29"/>
        <v>0</v>
      </c>
      <c r="F190" s="147">
        <f t="shared" si="29"/>
        <v>0</v>
      </c>
      <c r="G190" s="147">
        <f t="shared" si="29"/>
        <v>0</v>
      </c>
      <c r="H190" s="147">
        <f t="shared" si="29"/>
        <v>0</v>
      </c>
      <c r="I190" s="147">
        <f t="shared" si="30"/>
        <v>0</v>
      </c>
      <c r="J190" s="147">
        <f t="shared" si="30"/>
        <v>0</v>
      </c>
      <c r="K190" s="147">
        <f t="shared" si="30"/>
        <v>0</v>
      </c>
      <c r="L190" s="147">
        <f t="shared" si="30"/>
        <v>0</v>
      </c>
      <c r="M190" s="147">
        <f t="shared" si="30"/>
        <v>0</v>
      </c>
      <c r="N190" s="147">
        <f t="shared" si="30"/>
        <v>0</v>
      </c>
      <c r="O190" s="150">
        <f t="shared" si="26"/>
        <v>0</v>
      </c>
      <c r="P190" s="150">
        <f>+IF($B190="","",SUM($O$143:$O190))</f>
        <v>0</v>
      </c>
    </row>
    <row r="191" spans="2:16" ht="15">
      <c r="B191" s="142">
        <f t="shared" si="27"/>
        <v>2071</v>
      </c>
      <c r="C191" s="147">
        <f t="shared" ref="C191:H202" si="31">+IF($B191="","",C62-I62-C128-I128-O128)</f>
        <v>0</v>
      </c>
      <c r="D191" s="147">
        <f t="shared" si="31"/>
        <v>0</v>
      </c>
      <c r="E191" s="147">
        <f t="shared" si="31"/>
        <v>0</v>
      </c>
      <c r="F191" s="147">
        <f t="shared" si="31"/>
        <v>0</v>
      </c>
      <c r="G191" s="147">
        <f t="shared" si="31"/>
        <v>0</v>
      </c>
      <c r="H191" s="147">
        <f t="shared" si="31"/>
        <v>0</v>
      </c>
      <c r="I191" s="147">
        <f t="shared" si="30"/>
        <v>0</v>
      </c>
      <c r="J191" s="147">
        <f t="shared" si="30"/>
        <v>0</v>
      </c>
      <c r="K191" s="147">
        <f t="shared" si="30"/>
        <v>0</v>
      </c>
      <c r="L191" s="147">
        <f t="shared" si="30"/>
        <v>0</v>
      </c>
      <c r="M191" s="147">
        <f t="shared" si="30"/>
        <v>0</v>
      </c>
      <c r="N191" s="147">
        <f t="shared" si="30"/>
        <v>0</v>
      </c>
      <c r="O191" s="150">
        <f t="shared" si="26"/>
        <v>0</v>
      </c>
      <c r="P191" s="150">
        <f>+IF($B191="","",SUM($O$143:$O191))</f>
        <v>0</v>
      </c>
    </row>
    <row r="192" spans="2:16" ht="15">
      <c r="B192" s="142">
        <f t="shared" si="27"/>
        <v>2072</v>
      </c>
      <c r="C192" s="147">
        <f t="shared" si="31"/>
        <v>0</v>
      </c>
      <c r="D192" s="147">
        <f t="shared" si="31"/>
        <v>0</v>
      </c>
      <c r="E192" s="147">
        <f t="shared" si="31"/>
        <v>0</v>
      </c>
      <c r="F192" s="147">
        <f t="shared" si="31"/>
        <v>0</v>
      </c>
      <c r="G192" s="147">
        <f t="shared" si="31"/>
        <v>0</v>
      </c>
      <c r="H192" s="147">
        <f t="shared" si="31"/>
        <v>0</v>
      </c>
      <c r="I192" s="147">
        <f t="shared" si="30"/>
        <v>0</v>
      </c>
      <c r="J192" s="147">
        <f t="shared" si="30"/>
        <v>0</v>
      </c>
      <c r="K192" s="147">
        <f t="shared" si="30"/>
        <v>0</v>
      </c>
      <c r="L192" s="147">
        <f t="shared" si="30"/>
        <v>0</v>
      </c>
      <c r="M192" s="147">
        <f t="shared" si="30"/>
        <v>0</v>
      </c>
      <c r="N192" s="147">
        <f t="shared" si="30"/>
        <v>0</v>
      </c>
      <c r="O192" s="150">
        <f t="shared" si="26"/>
        <v>0</v>
      </c>
      <c r="P192" s="150">
        <f>+IF($B192="","",SUM($O$143:$O192))</f>
        <v>0</v>
      </c>
    </row>
    <row r="193" spans="2:16" ht="15">
      <c r="B193" s="142" t="str">
        <f t="shared" si="27"/>
        <v/>
      </c>
      <c r="C193" s="147" t="str">
        <f t="shared" si="31"/>
        <v/>
      </c>
      <c r="D193" s="147" t="str">
        <f t="shared" si="31"/>
        <v/>
      </c>
      <c r="E193" s="147" t="str">
        <f t="shared" si="31"/>
        <v/>
      </c>
      <c r="F193" s="147" t="str">
        <f t="shared" si="31"/>
        <v/>
      </c>
      <c r="G193" s="147" t="str">
        <f t="shared" si="31"/>
        <v/>
      </c>
      <c r="H193" s="147" t="str">
        <f t="shared" si="31"/>
        <v/>
      </c>
      <c r="I193" s="147" t="str">
        <f t="shared" si="30"/>
        <v/>
      </c>
      <c r="J193" s="147" t="str">
        <f t="shared" si="30"/>
        <v/>
      </c>
      <c r="K193" s="147" t="str">
        <f t="shared" si="30"/>
        <v/>
      </c>
      <c r="L193" s="147" t="str">
        <f t="shared" si="30"/>
        <v/>
      </c>
      <c r="M193" s="147" t="str">
        <f t="shared" si="30"/>
        <v/>
      </c>
      <c r="N193" s="147" t="str">
        <f t="shared" si="30"/>
        <v/>
      </c>
      <c r="O193" s="150" t="str">
        <f t="shared" si="26"/>
        <v/>
      </c>
      <c r="P193" s="150" t="str">
        <f>+IF($B193="","",SUM($O$143:$O193))</f>
        <v/>
      </c>
    </row>
    <row r="194" spans="2:16" ht="15">
      <c r="B194" s="142" t="str">
        <f t="shared" si="27"/>
        <v/>
      </c>
      <c r="C194" s="147" t="str">
        <f t="shared" si="31"/>
        <v/>
      </c>
      <c r="D194" s="147" t="str">
        <f t="shared" si="31"/>
        <v/>
      </c>
      <c r="E194" s="147" t="str">
        <f t="shared" si="31"/>
        <v/>
      </c>
      <c r="F194" s="147" t="str">
        <f t="shared" si="31"/>
        <v/>
      </c>
      <c r="G194" s="147" t="str">
        <f t="shared" si="31"/>
        <v/>
      </c>
      <c r="H194" s="147" t="str">
        <f t="shared" si="31"/>
        <v/>
      </c>
      <c r="I194" s="147" t="str">
        <f t="shared" si="30"/>
        <v/>
      </c>
      <c r="J194" s="147" t="str">
        <f t="shared" si="30"/>
        <v/>
      </c>
      <c r="K194" s="147" t="str">
        <f t="shared" si="30"/>
        <v/>
      </c>
      <c r="L194" s="147" t="str">
        <f t="shared" si="30"/>
        <v/>
      </c>
      <c r="M194" s="147" t="str">
        <f t="shared" si="30"/>
        <v/>
      </c>
      <c r="N194" s="147" t="str">
        <f t="shared" si="30"/>
        <v/>
      </c>
      <c r="O194" s="150" t="str">
        <f t="shared" si="26"/>
        <v/>
      </c>
      <c r="P194" s="150" t="str">
        <f>+IF($B194="","",SUM($O$143:$O194))</f>
        <v/>
      </c>
    </row>
    <row r="195" spans="2:16" ht="15">
      <c r="B195" s="142" t="str">
        <f t="shared" si="27"/>
        <v/>
      </c>
      <c r="C195" s="147" t="str">
        <f t="shared" si="31"/>
        <v/>
      </c>
      <c r="D195" s="147" t="str">
        <f t="shared" si="31"/>
        <v/>
      </c>
      <c r="E195" s="147" t="str">
        <f t="shared" si="31"/>
        <v/>
      </c>
      <c r="F195" s="147" t="str">
        <f t="shared" si="31"/>
        <v/>
      </c>
      <c r="G195" s="147" t="str">
        <f t="shared" si="31"/>
        <v/>
      </c>
      <c r="H195" s="147" t="str">
        <f t="shared" si="31"/>
        <v/>
      </c>
      <c r="I195" s="147" t="str">
        <f t="shared" si="30"/>
        <v/>
      </c>
      <c r="J195" s="147" t="str">
        <f t="shared" si="30"/>
        <v/>
      </c>
      <c r="K195" s="147" t="str">
        <f t="shared" si="30"/>
        <v/>
      </c>
      <c r="L195" s="147" t="str">
        <f t="shared" si="30"/>
        <v/>
      </c>
      <c r="M195" s="147" t="str">
        <f t="shared" si="30"/>
        <v/>
      </c>
      <c r="N195" s="147" t="str">
        <f t="shared" si="30"/>
        <v/>
      </c>
      <c r="O195" s="150" t="str">
        <f t="shared" si="26"/>
        <v/>
      </c>
      <c r="P195" s="150" t="str">
        <f>+IF($B195="","",SUM($O$143:$O195))</f>
        <v/>
      </c>
    </row>
    <row r="196" spans="2:16" ht="15">
      <c r="B196" s="142" t="str">
        <f t="shared" si="27"/>
        <v/>
      </c>
      <c r="C196" s="147" t="str">
        <f t="shared" si="31"/>
        <v/>
      </c>
      <c r="D196" s="147" t="str">
        <f t="shared" si="31"/>
        <v/>
      </c>
      <c r="E196" s="147" t="str">
        <f t="shared" si="31"/>
        <v/>
      </c>
      <c r="F196" s="147" t="str">
        <f t="shared" si="31"/>
        <v/>
      </c>
      <c r="G196" s="147" t="str">
        <f t="shared" si="31"/>
        <v/>
      </c>
      <c r="H196" s="147" t="str">
        <f t="shared" si="31"/>
        <v/>
      </c>
      <c r="I196" s="147" t="str">
        <f t="shared" si="30"/>
        <v/>
      </c>
      <c r="J196" s="147" t="str">
        <f t="shared" si="30"/>
        <v/>
      </c>
      <c r="K196" s="147" t="str">
        <f t="shared" si="30"/>
        <v/>
      </c>
      <c r="L196" s="147" t="str">
        <f t="shared" si="30"/>
        <v/>
      </c>
      <c r="M196" s="147" t="str">
        <f t="shared" si="30"/>
        <v/>
      </c>
      <c r="N196" s="147" t="str">
        <f t="shared" si="30"/>
        <v/>
      </c>
      <c r="O196" s="150" t="str">
        <f t="shared" si="26"/>
        <v/>
      </c>
      <c r="P196" s="150" t="str">
        <f>+IF($B196="","",SUM($O$143:$O196))</f>
        <v/>
      </c>
    </row>
    <row r="197" spans="2:16" ht="15">
      <c r="B197" s="142" t="str">
        <f t="shared" si="27"/>
        <v/>
      </c>
      <c r="C197" s="147" t="str">
        <f t="shared" si="31"/>
        <v/>
      </c>
      <c r="D197" s="147" t="str">
        <f t="shared" si="31"/>
        <v/>
      </c>
      <c r="E197" s="147" t="str">
        <f t="shared" si="31"/>
        <v/>
      </c>
      <c r="F197" s="147" t="str">
        <f t="shared" si="31"/>
        <v/>
      </c>
      <c r="G197" s="147" t="str">
        <f t="shared" si="31"/>
        <v/>
      </c>
      <c r="H197" s="147" t="str">
        <f t="shared" si="31"/>
        <v/>
      </c>
      <c r="I197" s="147" t="str">
        <f t="shared" si="30"/>
        <v/>
      </c>
      <c r="J197" s="147" t="str">
        <f t="shared" si="30"/>
        <v/>
      </c>
      <c r="K197" s="147" t="str">
        <f t="shared" si="30"/>
        <v/>
      </c>
      <c r="L197" s="147" t="str">
        <f t="shared" si="30"/>
        <v/>
      </c>
      <c r="M197" s="147" t="str">
        <f t="shared" si="30"/>
        <v/>
      </c>
      <c r="N197" s="147" t="str">
        <f t="shared" si="30"/>
        <v/>
      </c>
      <c r="O197" s="150" t="str">
        <f t="shared" si="26"/>
        <v/>
      </c>
      <c r="P197" s="150" t="str">
        <f>+IF($B197="","",SUM($O$143:$O197))</f>
        <v/>
      </c>
    </row>
    <row r="198" spans="2:16" ht="15">
      <c r="B198" s="142" t="str">
        <f t="shared" si="27"/>
        <v/>
      </c>
      <c r="C198" s="147" t="str">
        <f t="shared" si="31"/>
        <v/>
      </c>
      <c r="D198" s="147" t="str">
        <f t="shared" si="31"/>
        <v/>
      </c>
      <c r="E198" s="147" t="str">
        <f t="shared" si="31"/>
        <v/>
      </c>
      <c r="F198" s="147" t="str">
        <f t="shared" si="31"/>
        <v/>
      </c>
      <c r="G198" s="147" t="str">
        <f t="shared" si="31"/>
        <v/>
      </c>
      <c r="H198" s="147" t="str">
        <f t="shared" si="31"/>
        <v/>
      </c>
      <c r="I198" s="147" t="str">
        <f t="shared" si="30"/>
        <v/>
      </c>
      <c r="J198" s="147" t="str">
        <f t="shared" si="30"/>
        <v/>
      </c>
      <c r="K198" s="147" t="str">
        <f t="shared" si="30"/>
        <v/>
      </c>
      <c r="L198" s="147" t="str">
        <f t="shared" si="30"/>
        <v/>
      </c>
      <c r="M198" s="147" t="str">
        <f t="shared" si="30"/>
        <v/>
      </c>
      <c r="N198" s="147" t="str">
        <f t="shared" si="30"/>
        <v/>
      </c>
      <c r="O198" s="150" t="str">
        <f t="shared" si="26"/>
        <v/>
      </c>
      <c r="P198" s="150" t="str">
        <f>+IF($B198="","",SUM($O$143:$O198))</f>
        <v/>
      </c>
    </row>
    <row r="199" spans="2:16" ht="15">
      <c r="B199" s="142" t="str">
        <f t="shared" si="27"/>
        <v/>
      </c>
      <c r="C199" s="147" t="str">
        <f t="shared" si="31"/>
        <v/>
      </c>
      <c r="D199" s="147" t="str">
        <f t="shared" si="31"/>
        <v/>
      </c>
      <c r="E199" s="147" t="str">
        <f t="shared" si="31"/>
        <v/>
      </c>
      <c r="F199" s="147" t="str">
        <f t="shared" si="31"/>
        <v/>
      </c>
      <c r="G199" s="147" t="str">
        <f t="shared" si="31"/>
        <v/>
      </c>
      <c r="H199" s="147" t="str">
        <f t="shared" si="31"/>
        <v/>
      </c>
      <c r="I199" s="147" t="str">
        <f t="shared" si="30"/>
        <v/>
      </c>
      <c r="J199" s="147" t="str">
        <f t="shared" si="30"/>
        <v/>
      </c>
      <c r="K199" s="147" t="str">
        <f t="shared" si="30"/>
        <v/>
      </c>
      <c r="L199" s="147" t="str">
        <f t="shared" si="30"/>
        <v/>
      </c>
      <c r="M199" s="147" t="str">
        <f t="shared" si="30"/>
        <v/>
      </c>
      <c r="N199" s="147" t="str">
        <f t="shared" si="30"/>
        <v/>
      </c>
      <c r="O199" s="150" t="str">
        <f t="shared" si="26"/>
        <v/>
      </c>
      <c r="P199" s="150" t="str">
        <f>+IF($B199="","",SUM($O$143:$O199))</f>
        <v/>
      </c>
    </row>
    <row r="200" spans="2:16" ht="15">
      <c r="B200" s="142" t="str">
        <f t="shared" si="27"/>
        <v/>
      </c>
      <c r="C200" s="147" t="str">
        <f t="shared" si="31"/>
        <v/>
      </c>
      <c r="D200" s="147" t="str">
        <f t="shared" si="31"/>
        <v/>
      </c>
      <c r="E200" s="147" t="str">
        <f t="shared" si="31"/>
        <v/>
      </c>
      <c r="F200" s="147" t="str">
        <f t="shared" si="31"/>
        <v/>
      </c>
      <c r="G200" s="147" t="str">
        <f t="shared" si="31"/>
        <v/>
      </c>
      <c r="H200" s="147" t="str">
        <f t="shared" si="31"/>
        <v/>
      </c>
      <c r="I200" s="147" t="str">
        <f t="shared" si="30"/>
        <v/>
      </c>
      <c r="J200" s="147" t="str">
        <f t="shared" si="30"/>
        <v/>
      </c>
      <c r="K200" s="147" t="str">
        <f t="shared" si="30"/>
        <v/>
      </c>
      <c r="L200" s="147" t="str">
        <f t="shared" si="30"/>
        <v/>
      </c>
      <c r="M200" s="147" t="str">
        <f t="shared" si="30"/>
        <v/>
      </c>
      <c r="N200" s="147" t="str">
        <f t="shared" si="30"/>
        <v/>
      </c>
      <c r="O200" s="150" t="str">
        <f t="shared" si="26"/>
        <v/>
      </c>
      <c r="P200" s="150" t="str">
        <f>+IF($B200="","",SUM($O$143:$O200))</f>
        <v/>
      </c>
    </row>
    <row r="201" spans="2:16" ht="15">
      <c r="B201" s="142" t="str">
        <f t="shared" si="27"/>
        <v/>
      </c>
      <c r="C201" s="147" t="str">
        <f t="shared" si="31"/>
        <v/>
      </c>
      <c r="D201" s="147" t="str">
        <f t="shared" si="31"/>
        <v/>
      </c>
      <c r="E201" s="147" t="str">
        <f t="shared" si="31"/>
        <v/>
      </c>
      <c r="F201" s="147" t="str">
        <f t="shared" si="31"/>
        <v/>
      </c>
      <c r="G201" s="147" t="str">
        <f t="shared" si="31"/>
        <v/>
      </c>
      <c r="H201" s="147" t="str">
        <f t="shared" si="31"/>
        <v/>
      </c>
      <c r="I201" s="147" t="str">
        <f t="shared" si="30"/>
        <v/>
      </c>
      <c r="J201" s="147" t="str">
        <f t="shared" si="30"/>
        <v/>
      </c>
      <c r="K201" s="147" t="str">
        <f t="shared" si="30"/>
        <v/>
      </c>
      <c r="L201" s="147" t="str">
        <f t="shared" si="30"/>
        <v/>
      </c>
      <c r="M201" s="147" t="str">
        <f t="shared" si="30"/>
        <v/>
      </c>
      <c r="N201" s="147" t="str">
        <f t="shared" si="30"/>
        <v/>
      </c>
      <c r="O201" s="150" t="str">
        <f t="shared" si="26"/>
        <v/>
      </c>
      <c r="P201" s="150" t="str">
        <f>+IF($B201="","",SUM($O$143:$O201))</f>
        <v/>
      </c>
    </row>
    <row r="202" spans="2:16" ht="15">
      <c r="B202" s="142" t="str">
        <f t="shared" si="27"/>
        <v/>
      </c>
      <c r="C202" s="147" t="str">
        <f t="shared" si="31"/>
        <v/>
      </c>
      <c r="D202" s="147" t="str">
        <f t="shared" si="31"/>
        <v/>
      </c>
      <c r="E202" s="147" t="str">
        <f t="shared" si="31"/>
        <v/>
      </c>
      <c r="F202" s="147" t="str">
        <f t="shared" si="31"/>
        <v/>
      </c>
      <c r="G202" s="147" t="str">
        <f t="shared" si="31"/>
        <v/>
      </c>
      <c r="H202" s="147" t="str">
        <f t="shared" si="31"/>
        <v/>
      </c>
      <c r="I202" s="147" t="str">
        <f t="shared" si="30"/>
        <v/>
      </c>
      <c r="J202" s="147" t="str">
        <f t="shared" si="30"/>
        <v/>
      </c>
      <c r="K202" s="147" t="str">
        <f t="shared" si="30"/>
        <v/>
      </c>
      <c r="L202" s="147" t="str">
        <f t="shared" si="30"/>
        <v/>
      </c>
      <c r="M202" s="147" t="str">
        <f t="shared" si="30"/>
        <v/>
      </c>
      <c r="N202" s="147" t="str">
        <f t="shared" si="30"/>
        <v/>
      </c>
      <c r="O202" s="150" t="str">
        <f t="shared" si="26"/>
        <v/>
      </c>
      <c r="P202" s="150" t="str">
        <f>+IF($B202="","",SUM($O$143:$O202))</f>
        <v/>
      </c>
    </row>
  </sheetData>
  <sheetProtection algorithmName="SHA-512" hashValue="jIbMwOiMr+oXvffMSeG4vKdeo6kOnvXUqn2/z8axxVaoUb5wnuyUI4pQY9v5+C/SPQou2cX7XLv29Dx1OGm3vg==" saltValue="yWTwkJac2HYOexJTSq3voA==" spinCount="100000" sheet="1" objects="1" scenarios="1"/>
  <mergeCells count="7">
    <mergeCell ref="O78:T78"/>
    <mergeCell ref="C141:H141"/>
    <mergeCell ref="I141:N141"/>
    <mergeCell ref="C12:H12"/>
    <mergeCell ref="I12:N12"/>
    <mergeCell ref="C78:H78"/>
    <mergeCell ref="I78:N78"/>
  </mergeCells>
  <pageMargins left="0.7" right="0.7" top="0.75" bottom="0.75" header="0.3" footer="0.3"/>
  <pageSetup paperSize="9" orientation="portrait" r:id="rId1"/>
  <headerFooter>
    <oddFooter>&amp;L_x000D_&amp;1#&amp;"Calibri"&amp;10&amp;K000000 Intern gebruik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2A0B4-BF98-4372-9D8F-692587C3A993}">
  <sheetPr codeName="Blad14">
    <tabColor rgb="FFFFC000"/>
  </sheetPr>
  <dimension ref="B1:I24"/>
  <sheetViews>
    <sheetView zoomScaleNormal="100" workbookViewId="0">
      <selection activeCell="F39" sqref="F39"/>
    </sheetView>
  </sheetViews>
  <sheetFormatPr defaultColWidth="9.140625" defaultRowHeight="12"/>
  <cols>
    <col min="1" max="1" width="9.140625" style="1"/>
    <col min="2" max="2" width="28.7109375" style="1" customWidth="1"/>
    <col min="3" max="3" width="12.42578125" style="1" bestFit="1" customWidth="1"/>
    <col min="4" max="4" width="18.42578125" style="1" bestFit="1" customWidth="1"/>
    <col min="5" max="5" width="17.5703125" style="1" bestFit="1" customWidth="1"/>
    <col min="6" max="6" width="19.140625" style="1" bestFit="1" customWidth="1"/>
    <col min="7" max="7" width="21.7109375" style="1" bestFit="1" customWidth="1"/>
    <col min="8" max="8" width="23.5703125" style="1" bestFit="1" customWidth="1"/>
    <col min="9" max="16384" width="9.140625" style="1"/>
  </cols>
  <sheetData>
    <row r="1" spans="2:9" ht="12.75" thickBot="1"/>
    <row r="2" spans="2:9">
      <c r="B2" s="56" t="s">
        <v>381</v>
      </c>
      <c r="C2" s="57" t="s">
        <v>383</v>
      </c>
      <c r="D2" s="58" t="s">
        <v>2</v>
      </c>
      <c r="E2" s="57" t="s">
        <v>350</v>
      </c>
      <c r="F2" s="57" t="s">
        <v>385</v>
      </c>
      <c r="G2" s="57" t="s">
        <v>386</v>
      </c>
      <c r="H2" s="59" t="s">
        <v>583</v>
      </c>
    </row>
    <row r="3" spans="2:9">
      <c r="B3" s="60" t="s">
        <v>586</v>
      </c>
      <c r="C3" s="55">
        <f>C17*$B$13</f>
        <v>34.5</v>
      </c>
      <c r="D3" s="55">
        <f t="shared" ref="D3:H3" si="0">D17*$B$13</f>
        <v>63.249999999999993</v>
      </c>
      <c r="E3" s="55">
        <f t="shared" si="0"/>
        <v>86.25</v>
      </c>
      <c r="F3" s="55">
        <f t="shared" si="0"/>
        <v>41.4</v>
      </c>
      <c r="G3" s="55">
        <f t="shared" si="0"/>
        <v>39.099999999999994</v>
      </c>
      <c r="H3" s="55">
        <f t="shared" si="0"/>
        <v>36.799999999999997</v>
      </c>
    </row>
    <row r="4" spans="2:9">
      <c r="B4" s="60" t="s">
        <v>585</v>
      </c>
      <c r="C4" s="55">
        <f t="shared" ref="C4:H4" si="1">C18*$B$13</f>
        <v>32.199999999999996</v>
      </c>
      <c r="D4" s="55">
        <f t="shared" si="1"/>
        <v>58.65</v>
      </c>
      <c r="E4" s="55">
        <f t="shared" si="1"/>
        <v>80.5</v>
      </c>
      <c r="F4" s="55">
        <f t="shared" si="1"/>
        <v>37.949999999999996</v>
      </c>
      <c r="G4" s="55">
        <f t="shared" si="1"/>
        <v>35.65</v>
      </c>
      <c r="H4" s="55">
        <f t="shared" si="1"/>
        <v>33.349999999999994</v>
      </c>
    </row>
    <row r="5" spans="2:9">
      <c r="B5" s="60" t="s">
        <v>403</v>
      </c>
      <c r="C5" s="55">
        <f t="shared" ref="C5:H5" si="2">C19*$B$13</f>
        <v>29.9</v>
      </c>
      <c r="D5" s="55">
        <f t="shared" si="2"/>
        <v>55.199999999999996</v>
      </c>
      <c r="E5" s="55">
        <f t="shared" si="2"/>
        <v>73.599999999999994</v>
      </c>
      <c r="F5" s="55">
        <f t="shared" si="2"/>
        <v>35.65</v>
      </c>
      <c r="G5" s="55">
        <f t="shared" si="2"/>
        <v>32.774999999999999</v>
      </c>
      <c r="H5" s="55">
        <f t="shared" si="2"/>
        <v>31.049999999999997</v>
      </c>
    </row>
    <row r="6" spans="2:9">
      <c r="B6" s="60"/>
      <c r="C6" s="54"/>
      <c r="D6" s="54"/>
      <c r="E6" s="54"/>
      <c r="F6" s="54"/>
      <c r="G6" s="54"/>
      <c r="H6" s="62"/>
    </row>
    <row r="7" spans="2:9">
      <c r="B7" s="63" t="s">
        <v>382</v>
      </c>
      <c r="C7" s="54" t="s">
        <v>383</v>
      </c>
      <c r="D7" s="54" t="s">
        <v>2</v>
      </c>
      <c r="E7" s="54" t="s">
        <v>350</v>
      </c>
      <c r="F7" s="54" t="s">
        <v>385</v>
      </c>
      <c r="G7" s="54" t="s">
        <v>386</v>
      </c>
      <c r="H7" s="62" t="s">
        <v>583</v>
      </c>
    </row>
    <row r="8" spans="2:9">
      <c r="B8" s="60" t="s">
        <v>586</v>
      </c>
      <c r="C8" s="55">
        <f t="shared" ref="C8:H8" si="3">C22*$B$13</f>
        <v>1583.55</v>
      </c>
      <c r="D8" s="55">
        <f t="shared" si="3"/>
        <v>1713.4999999999998</v>
      </c>
      <c r="E8" s="55">
        <f t="shared" si="3"/>
        <v>1642.1999999999998</v>
      </c>
      <c r="F8" s="55">
        <f t="shared" si="3"/>
        <v>1730.7499999999998</v>
      </c>
      <c r="G8" s="55">
        <f t="shared" si="3"/>
        <v>1936.6</v>
      </c>
      <c r="H8" s="55">
        <f t="shared" si="3"/>
        <v>2015.9499999999998</v>
      </c>
    </row>
    <row r="9" spans="2:9">
      <c r="B9" s="60" t="s">
        <v>585</v>
      </c>
      <c r="C9" s="55">
        <f t="shared" ref="C9:H9" si="4">C23*$B$13</f>
        <v>1472</v>
      </c>
      <c r="D9" s="55">
        <f t="shared" si="4"/>
        <v>1592.7499999999998</v>
      </c>
      <c r="E9" s="55">
        <f t="shared" si="4"/>
        <v>1526.05</v>
      </c>
      <c r="F9" s="55">
        <f t="shared" si="4"/>
        <v>1608.85</v>
      </c>
      <c r="G9" s="55">
        <f t="shared" si="4"/>
        <v>1799.7499999999998</v>
      </c>
      <c r="H9" s="55">
        <f t="shared" si="4"/>
        <v>1873.35</v>
      </c>
      <c r="I9"/>
    </row>
    <row r="10" spans="2:9">
      <c r="B10" s="60" t="s">
        <v>403</v>
      </c>
      <c r="C10" s="55">
        <f t="shared" ref="C10:H10" si="5">C24*$B$13</f>
        <v>1359.3</v>
      </c>
      <c r="D10" s="55">
        <f t="shared" si="5"/>
        <v>1472</v>
      </c>
      <c r="E10" s="55">
        <f t="shared" si="5"/>
        <v>1409.8999999999999</v>
      </c>
      <c r="F10" s="55">
        <f t="shared" si="5"/>
        <v>1485.8</v>
      </c>
      <c r="G10" s="55">
        <f t="shared" si="5"/>
        <v>1662.8999999999999</v>
      </c>
      <c r="H10" s="55">
        <f t="shared" si="5"/>
        <v>1730.7499999999998</v>
      </c>
      <c r="I10"/>
    </row>
    <row r="12" spans="2:9">
      <c r="B12" s="1" t="s">
        <v>616</v>
      </c>
    </row>
    <row r="13" spans="2:9">
      <c r="B13" s="265">
        <v>1.1499999999999999</v>
      </c>
    </row>
    <row r="15" spans="2:9" ht="12.75" thickBot="1"/>
    <row r="16" spans="2:9">
      <c r="B16" s="56" t="s">
        <v>381</v>
      </c>
      <c r="C16" s="57" t="s">
        <v>383</v>
      </c>
      <c r="D16" s="58" t="s">
        <v>2</v>
      </c>
      <c r="E16" s="57" t="s">
        <v>350</v>
      </c>
      <c r="F16" s="57" t="s">
        <v>385</v>
      </c>
      <c r="G16" s="57" t="s">
        <v>386</v>
      </c>
      <c r="H16" s="59" t="s">
        <v>583</v>
      </c>
    </row>
    <row r="17" spans="2:8">
      <c r="B17" s="60" t="s">
        <v>586</v>
      </c>
      <c r="C17" s="282">
        <v>30</v>
      </c>
      <c r="D17" s="286">
        <v>55</v>
      </c>
      <c r="E17" s="282">
        <v>75</v>
      </c>
      <c r="F17" s="282">
        <v>36</v>
      </c>
      <c r="G17" s="282">
        <v>34</v>
      </c>
      <c r="H17" s="283">
        <v>32</v>
      </c>
    </row>
    <row r="18" spans="2:8">
      <c r="B18" s="60" t="s">
        <v>585</v>
      </c>
      <c r="C18" s="282">
        <v>28</v>
      </c>
      <c r="D18" s="286">
        <v>51</v>
      </c>
      <c r="E18" s="282">
        <v>70</v>
      </c>
      <c r="F18" s="282">
        <v>33</v>
      </c>
      <c r="G18" s="282">
        <v>31</v>
      </c>
      <c r="H18" s="283">
        <v>29</v>
      </c>
    </row>
    <row r="19" spans="2:8">
      <c r="B19" s="60" t="s">
        <v>403</v>
      </c>
      <c r="C19" s="282">
        <v>26</v>
      </c>
      <c r="D19" s="286">
        <v>48</v>
      </c>
      <c r="E19" s="282">
        <v>64</v>
      </c>
      <c r="F19" s="282">
        <v>31</v>
      </c>
      <c r="G19" s="282">
        <v>28.5</v>
      </c>
      <c r="H19" s="283">
        <v>27</v>
      </c>
    </row>
    <row r="20" spans="2:8">
      <c r="B20" s="60"/>
      <c r="C20" s="54"/>
      <c r="D20" s="54"/>
      <c r="E20" s="54"/>
      <c r="F20" s="54"/>
      <c r="G20" s="54"/>
      <c r="H20" s="62"/>
    </row>
    <row r="21" spans="2:8">
      <c r="B21" s="63" t="s">
        <v>382</v>
      </c>
      <c r="C21" s="54" t="s">
        <v>383</v>
      </c>
      <c r="D21" s="54" t="s">
        <v>2</v>
      </c>
      <c r="E21" s="54" t="s">
        <v>350</v>
      </c>
      <c r="F21" s="54" t="s">
        <v>385</v>
      </c>
      <c r="G21" s="54" t="s">
        <v>386</v>
      </c>
      <c r="H21" s="62" t="s">
        <v>583</v>
      </c>
    </row>
    <row r="22" spans="2:8">
      <c r="B22" s="60" t="s">
        <v>586</v>
      </c>
      <c r="C22" s="282">
        <v>1377</v>
      </c>
      <c r="D22" s="282">
        <v>1490</v>
      </c>
      <c r="E22" s="282">
        <v>1428</v>
      </c>
      <c r="F22" s="282">
        <v>1505</v>
      </c>
      <c r="G22" s="282">
        <v>1684</v>
      </c>
      <c r="H22" s="283">
        <v>1753</v>
      </c>
    </row>
    <row r="23" spans="2:8">
      <c r="B23" s="60" t="s">
        <v>585</v>
      </c>
      <c r="C23" s="282">
        <v>1280</v>
      </c>
      <c r="D23" s="282">
        <v>1385</v>
      </c>
      <c r="E23" s="282">
        <v>1327</v>
      </c>
      <c r="F23" s="282">
        <v>1399</v>
      </c>
      <c r="G23" s="282">
        <v>1565</v>
      </c>
      <c r="H23" s="283">
        <v>1629</v>
      </c>
    </row>
    <row r="24" spans="2:8" ht="12.75" thickBot="1">
      <c r="B24" s="60" t="s">
        <v>403</v>
      </c>
      <c r="C24" s="284">
        <v>1182</v>
      </c>
      <c r="D24" s="284">
        <v>1280</v>
      </c>
      <c r="E24" s="284">
        <v>1226</v>
      </c>
      <c r="F24" s="284">
        <v>1292</v>
      </c>
      <c r="G24" s="284">
        <v>1446</v>
      </c>
      <c r="H24" s="285">
        <v>1505</v>
      </c>
    </row>
  </sheetData>
  <sheetProtection algorithmName="SHA-512" hashValue="otyqYtHLKYODaqthObeD3WxA5pDe6b4UGAJJLXFrZ8td3J/96tTS3IUS6v2F4/uDeh5m1LV34WwOovD4aRxAWg==" saltValue="10ad4rfRrlToppBz5jNEUA==" spinCount="100000" sheet="1" objects="1" scenarios="1"/>
  <pageMargins left="0.7" right="0.7" top="0.75" bottom="0.75" header="0.3" footer="0.3"/>
  <headerFooter>
    <oddFooter>&amp;L_x000D_&amp;1#&amp;"Calibri"&amp;10&amp;K000000 Intern gebruik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77302-B3AD-4E92-B58E-D22BB9B06B57}">
  <sheetPr codeName="Blad15">
    <tabColor rgb="FFFFC000"/>
  </sheetPr>
  <dimension ref="B1:H8"/>
  <sheetViews>
    <sheetView workbookViewId="0">
      <selection activeCell="F39" sqref="F39"/>
    </sheetView>
  </sheetViews>
  <sheetFormatPr defaultColWidth="9.140625" defaultRowHeight="12"/>
  <cols>
    <col min="1" max="1" width="9.140625" style="1"/>
    <col min="2" max="2" width="11.42578125" style="1" bestFit="1" customWidth="1"/>
    <col min="3" max="3" width="11.7109375" style="1" bestFit="1" customWidth="1"/>
    <col min="4" max="4" width="17.5703125" style="1" bestFit="1" customWidth="1"/>
    <col min="5" max="5" width="16.5703125" style="1" bestFit="1" customWidth="1"/>
    <col min="6" max="6" width="18.7109375" style="1" bestFit="1" customWidth="1"/>
    <col min="7" max="7" width="19.7109375" style="1" bestFit="1" customWidth="1"/>
    <col min="8" max="8" width="21.85546875" style="1" bestFit="1" customWidth="1"/>
    <col min="9" max="16384" width="9.140625" style="1"/>
  </cols>
  <sheetData>
    <row r="1" spans="2:8" ht="12.75" thickBot="1"/>
    <row r="2" spans="2:8">
      <c r="B2" s="56" t="s">
        <v>381</v>
      </c>
      <c r="C2" s="57" t="s">
        <v>383</v>
      </c>
      <c r="D2" s="58" t="s">
        <v>2</v>
      </c>
      <c r="E2" s="57" t="s">
        <v>350</v>
      </c>
      <c r="F2" s="57" t="s">
        <v>385</v>
      </c>
      <c r="G2" s="57" t="s">
        <v>386</v>
      </c>
      <c r="H2" s="59" t="s">
        <v>583</v>
      </c>
    </row>
    <row r="3" spans="2:8">
      <c r="B3" s="60" t="s">
        <v>430</v>
      </c>
      <c r="C3" s="189" t="e">
        <f>IF(NOT(KENGETALLEN!D32=""),KENGETALLEN!D32,KENGETALLEN!D31)</f>
        <v>#N/A</v>
      </c>
      <c r="D3" s="190" t="e">
        <f>IF(NOT(KENGETALLEN!E32=""),KENGETALLEN!E32,KENGETALLEN!E31)</f>
        <v>#N/A</v>
      </c>
      <c r="E3" s="189" t="e">
        <f>IF(NOT(KENGETALLEN!F32=""),KENGETALLEN!F32,KENGETALLEN!F31)</f>
        <v>#N/A</v>
      </c>
      <c r="F3" s="189" t="e">
        <f>IF(NOT(KENGETALLEN!G32=""),KENGETALLEN!G32,KENGETALLEN!G31)</f>
        <v>#N/A</v>
      </c>
      <c r="G3" s="189" t="e">
        <f>IF(NOT(KENGETALLEN!H32=""),KENGETALLEN!H32,KENGETALLEN!H31)</f>
        <v>#N/A</v>
      </c>
      <c r="H3" s="191" t="e">
        <f>IF(NOT(KENGETALLEN!I32=""),KENGETALLEN!I32,KENGETALLEN!I31)</f>
        <v>#N/A</v>
      </c>
    </row>
    <row r="5" spans="2:8" ht="12.75" thickBot="1"/>
    <row r="6" spans="2:8">
      <c r="B6" s="69"/>
      <c r="C6" s="57"/>
      <c r="D6" s="57"/>
      <c r="E6" s="57"/>
      <c r="F6" s="57"/>
      <c r="G6" s="57"/>
      <c r="H6" s="132"/>
    </row>
    <row r="7" spans="2:8">
      <c r="B7" s="63" t="s">
        <v>382</v>
      </c>
      <c r="C7" s="54" t="s">
        <v>383</v>
      </c>
      <c r="D7" s="54" t="s">
        <v>2</v>
      </c>
      <c r="E7" s="54" t="s">
        <v>350</v>
      </c>
      <c r="F7" s="54" t="s">
        <v>385</v>
      </c>
      <c r="G7" s="54" t="s">
        <v>386</v>
      </c>
      <c r="H7" s="62" t="s">
        <v>583</v>
      </c>
    </row>
    <row r="8" spans="2:8">
      <c r="B8" s="60" t="s">
        <v>430</v>
      </c>
      <c r="C8" s="55" t="e">
        <f>IF(NOT(KENGETALLEN!D36=""),KENGETALLEN!D36,KENGETALLEN!D35)</f>
        <v>#N/A</v>
      </c>
      <c r="D8" s="55" t="e">
        <f>IF(NOT(KENGETALLEN!E36=""),KENGETALLEN!E36,KENGETALLEN!E35)</f>
        <v>#N/A</v>
      </c>
      <c r="E8" s="55" t="e">
        <f>IF(NOT(KENGETALLEN!F36=""),KENGETALLEN!F36,KENGETALLEN!F35)</f>
        <v>#N/A</v>
      </c>
      <c r="F8" s="55" t="e">
        <f>IF(NOT(KENGETALLEN!G36=""),KENGETALLEN!G36,KENGETALLEN!G35)</f>
        <v>#N/A</v>
      </c>
      <c r="G8" s="55" t="e">
        <f>IF(NOT(KENGETALLEN!H36=""),KENGETALLEN!H36,KENGETALLEN!H35)</f>
        <v>#N/A</v>
      </c>
      <c r="H8" s="64" t="e">
        <f>IF(NOT(KENGETALLEN!I36=""),KENGETALLEN!I36,KENGETALLEN!I35)</f>
        <v>#N/A</v>
      </c>
    </row>
  </sheetData>
  <sheetProtection algorithmName="SHA-512" hashValue="OH55unAr5iggt8Ni39iWhpC4cNfXUWhi+12MDLgDOKZaRd3BFubXZ8FAG4+Ug1ikirZ/1mHSxJxa7YaPHgzc1A==" saltValue="NhQhOZ9/HNVy3CSrrQ/Q3Q==" spinCount="100000" sheet="1" objects="1" scenarios="1"/>
  <pageMargins left="0.7" right="0.7" top="0.75" bottom="0.75" header="0.3" footer="0.3"/>
  <headerFooter>
    <oddFooter>&amp;L_x000D_&amp;1#&amp;"Calibri"&amp;10&amp;K000000 Intern gebruik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30F2C-9A01-46AC-92B7-26C93B6D467A}">
  <sheetPr codeName="Blad16">
    <tabColor rgb="FFFFC000"/>
  </sheetPr>
  <dimension ref="B1:F56"/>
  <sheetViews>
    <sheetView zoomScaleNormal="100" workbookViewId="0">
      <selection activeCell="F39" sqref="F39"/>
    </sheetView>
  </sheetViews>
  <sheetFormatPr defaultColWidth="9.140625" defaultRowHeight="12"/>
  <cols>
    <col min="1" max="1" width="9.140625" style="1"/>
    <col min="2" max="2" width="34" style="1" bestFit="1" customWidth="1"/>
    <col min="3" max="3" width="18.5703125" style="1" bestFit="1" customWidth="1"/>
    <col min="4" max="16384" width="9.140625" style="1"/>
  </cols>
  <sheetData>
    <row r="1" spans="2:6" ht="12.75" thickBot="1"/>
    <row r="2" spans="2:6">
      <c r="B2" s="56" t="s">
        <v>357</v>
      </c>
      <c r="C2" s="66" t="s">
        <v>358</v>
      </c>
    </row>
    <row r="3" spans="2:6">
      <c r="B3" s="60" t="s">
        <v>359</v>
      </c>
      <c r="C3" s="62"/>
      <c r="D3" s="1">
        <v>2024</v>
      </c>
      <c r="E3" s="1">
        <v>2023</v>
      </c>
      <c r="F3" s="1" t="s">
        <v>616</v>
      </c>
    </row>
    <row r="4" spans="2:6">
      <c r="B4" s="60" t="s">
        <v>360</v>
      </c>
      <c r="C4" s="64">
        <f>D4*$F$4</f>
        <v>6209.9999999999991</v>
      </c>
      <c r="D4" s="283">
        <v>5400</v>
      </c>
      <c r="E4" s="1">
        <v>5100</v>
      </c>
      <c r="F4" s="265">
        <f>'Bron getallen sloop-nieuwbouw'!B13</f>
        <v>1.1499999999999999</v>
      </c>
    </row>
    <row r="5" spans="2:6">
      <c r="B5" s="60" t="s">
        <v>361</v>
      </c>
      <c r="C5" s="64">
        <f t="shared" ref="C5:C7" si="0">D5*$F$4</f>
        <v>6554.9999999999991</v>
      </c>
      <c r="D5" s="283">
        <v>5700</v>
      </c>
      <c r="E5" s="1">
        <v>5400</v>
      </c>
    </row>
    <row r="6" spans="2:6">
      <c r="B6" s="60" t="s">
        <v>362</v>
      </c>
      <c r="C6" s="64">
        <f t="shared" si="0"/>
        <v>6899.9999999999991</v>
      </c>
      <c r="D6" s="283">
        <v>6000</v>
      </c>
      <c r="E6" s="1">
        <v>5600</v>
      </c>
    </row>
    <row r="7" spans="2:6">
      <c r="B7" s="60" t="s">
        <v>363</v>
      </c>
      <c r="C7" s="64">
        <f t="shared" si="0"/>
        <v>10350</v>
      </c>
      <c r="D7" s="283">
        <v>9000</v>
      </c>
      <c r="E7" s="1">
        <v>9000</v>
      </c>
    </row>
    <row r="8" spans="2:6">
      <c r="B8" s="60" t="s">
        <v>391</v>
      </c>
      <c r="C8" s="61">
        <f>C4</f>
        <v>6209.9999999999991</v>
      </c>
      <c r="D8" s="61">
        <f>D4</f>
        <v>5400</v>
      </c>
      <c r="E8" s="1">
        <v>5100</v>
      </c>
    </row>
    <row r="9" spans="2:6">
      <c r="B9" s="60" t="s">
        <v>364</v>
      </c>
      <c r="C9" s="62"/>
      <c r="D9" s="62"/>
    </row>
    <row r="10" spans="2:6">
      <c r="B10" s="60" t="s">
        <v>360</v>
      </c>
      <c r="C10" s="64">
        <f>D10*$F$4</f>
        <v>5060</v>
      </c>
      <c r="D10" s="283">
        <v>4400</v>
      </c>
      <c r="E10" s="1">
        <v>4500</v>
      </c>
    </row>
    <row r="11" spans="2:6">
      <c r="B11" s="60" t="s">
        <v>361</v>
      </c>
      <c r="C11" s="64">
        <f>D11*$F$4</f>
        <v>5405</v>
      </c>
      <c r="D11" s="283">
        <v>4700</v>
      </c>
      <c r="E11" s="1">
        <v>4700</v>
      </c>
    </row>
    <row r="12" spans="2:6">
      <c r="B12" s="60" t="s">
        <v>362</v>
      </c>
      <c r="C12" s="64">
        <f>D12*$F$4</f>
        <v>5750</v>
      </c>
      <c r="D12" s="283">
        <v>5000</v>
      </c>
      <c r="E12" s="1">
        <v>5000</v>
      </c>
    </row>
    <row r="13" spans="2:6">
      <c r="B13" s="60" t="s">
        <v>363</v>
      </c>
      <c r="C13" s="64">
        <f>D13*$F$4</f>
        <v>12649.999999999998</v>
      </c>
      <c r="D13" s="283">
        <v>11000</v>
      </c>
      <c r="E13" s="1">
        <v>11000</v>
      </c>
    </row>
    <row r="14" spans="2:6">
      <c r="B14" s="60" t="s">
        <v>391</v>
      </c>
      <c r="C14" s="61">
        <f>C10</f>
        <v>5060</v>
      </c>
      <c r="D14" s="61">
        <f>D10</f>
        <v>4400</v>
      </c>
      <c r="E14" s="1">
        <v>4500</v>
      </c>
    </row>
    <row r="15" spans="2:6">
      <c r="B15" s="60" t="s">
        <v>365</v>
      </c>
      <c r="C15" s="62"/>
      <c r="D15" s="62"/>
    </row>
    <row r="16" spans="2:6">
      <c r="B16" s="60" t="s">
        <v>360</v>
      </c>
      <c r="C16" s="64">
        <f>D16*$F$4</f>
        <v>3679.9999999999995</v>
      </c>
      <c r="D16" s="283">
        <v>3200</v>
      </c>
      <c r="E16" s="1">
        <v>2400</v>
      </c>
    </row>
    <row r="17" spans="2:5">
      <c r="B17" s="60" t="s">
        <v>361</v>
      </c>
      <c r="C17" s="64">
        <f>D17*$F$4</f>
        <v>3909.9999999999995</v>
      </c>
      <c r="D17" s="283">
        <v>3400</v>
      </c>
      <c r="E17" s="1">
        <v>2500</v>
      </c>
    </row>
    <row r="18" spans="2:5">
      <c r="B18" s="60" t="s">
        <v>362</v>
      </c>
      <c r="C18" s="64">
        <f>D18*$F$4</f>
        <v>4024.9999999999995</v>
      </c>
      <c r="D18" s="283">
        <v>3500</v>
      </c>
      <c r="E18" s="1">
        <v>2600</v>
      </c>
    </row>
    <row r="19" spans="2:5">
      <c r="B19" s="60" t="s">
        <v>363</v>
      </c>
      <c r="C19" s="64">
        <f>D19*$F$4</f>
        <v>6324.9999999999991</v>
      </c>
      <c r="D19" s="283">
        <v>5500</v>
      </c>
      <c r="E19" s="1">
        <v>4000</v>
      </c>
    </row>
    <row r="20" spans="2:5">
      <c r="B20" s="60" t="s">
        <v>391</v>
      </c>
      <c r="C20" s="61">
        <f>C16</f>
        <v>3679.9999999999995</v>
      </c>
      <c r="D20" s="61">
        <f>D16</f>
        <v>3200</v>
      </c>
      <c r="E20" s="1">
        <v>2400</v>
      </c>
    </row>
    <row r="21" spans="2:5">
      <c r="B21" s="60" t="s">
        <v>352</v>
      </c>
      <c r="C21" s="62"/>
      <c r="D21" s="62"/>
    </row>
    <row r="22" spans="2:5">
      <c r="B22" s="60" t="s">
        <v>360</v>
      </c>
      <c r="C22" s="64">
        <f>D22*$F$4</f>
        <v>1265</v>
      </c>
      <c r="D22" s="283">
        <v>1100</v>
      </c>
      <c r="E22" s="1">
        <v>1100</v>
      </c>
    </row>
    <row r="23" spans="2:5">
      <c r="B23" s="60" t="s">
        <v>361</v>
      </c>
      <c r="C23" s="64">
        <f>D23*$F$4</f>
        <v>2702.5</v>
      </c>
      <c r="D23" s="283">
        <v>2350</v>
      </c>
      <c r="E23" s="1">
        <v>2350</v>
      </c>
    </row>
    <row r="24" spans="2:5">
      <c r="B24" s="60" t="s">
        <v>366</v>
      </c>
      <c r="C24" s="64">
        <f>D24*$F$4</f>
        <v>2817.5</v>
      </c>
      <c r="D24" s="283">
        <v>2450</v>
      </c>
      <c r="E24" s="1">
        <v>2450</v>
      </c>
    </row>
    <row r="25" spans="2:5">
      <c r="B25" s="60" t="s">
        <v>363</v>
      </c>
      <c r="C25" s="64">
        <f>D25*$F$4</f>
        <v>4024.9999999999995</v>
      </c>
      <c r="D25" s="283">
        <v>3500</v>
      </c>
      <c r="E25" s="1">
        <v>3500</v>
      </c>
    </row>
    <row r="26" spans="2:5">
      <c r="B26" s="60" t="s">
        <v>391</v>
      </c>
      <c r="C26" s="61">
        <f>C22</f>
        <v>1265</v>
      </c>
      <c r="D26" s="61">
        <f>D22</f>
        <v>1100</v>
      </c>
      <c r="E26" s="1">
        <v>1100</v>
      </c>
    </row>
    <row r="27" spans="2:5">
      <c r="B27" s="60" t="s">
        <v>353</v>
      </c>
      <c r="C27" s="62"/>
      <c r="D27" s="62"/>
    </row>
    <row r="28" spans="2:5">
      <c r="B28" s="60" t="s">
        <v>360</v>
      </c>
      <c r="C28" s="64">
        <f>D28*$F$4</f>
        <v>11500</v>
      </c>
      <c r="D28" s="283">
        <v>10000</v>
      </c>
      <c r="E28" s="1">
        <v>9000</v>
      </c>
    </row>
    <row r="29" spans="2:5">
      <c r="B29" s="60" t="s">
        <v>361</v>
      </c>
      <c r="C29" s="64">
        <f>D29*$F$4</f>
        <v>24724.999999999996</v>
      </c>
      <c r="D29" s="283">
        <v>21500</v>
      </c>
      <c r="E29" s="1">
        <v>20000</v>
      </c>
    </row>
    <row r="30" spans="2:5">
      <c r="B30" s="274" t="s">
        <v>362</v>
      </c>
      <c r="C30" s="64">
        <f>D30*$F$4</f>
        <v>25874.999999999996</v>
      </c>
      <c r="D30" s="283">
        <v>22500</v>
      </c>
      <c r="E30" s="1">
        <v>20500</v>
      </c>
    </row>
    <row r="31" spans="2:5">
      <c r="B31" s="274" t="s">
        <v>363</v>
      </c>
      <c r="C31" s="64">
        <f>D31*$F$4</f>
        <v>36800</v>
      </c>
      <c r="D31" s="283">
        <v>32000</v>
      </c>
      <c r="E31" s="1">
        <v>29000</v>
      </c>
    </row>
    <row r="32" spans="2:5">
      <c r="B32" s="60" t="s">
        <v>391</v>
      </c>
      <c r="C32" s="61">
        <f>C28</f>
        <v>11500</v>
      </c>
      <c r="D32" s="61">
        <f>D28</f>
        <v>10000</v>
      </c>
      <c r="E32" s="1">
        <v>9000</v>
      </c>
    </row>
    <row r="33" spans="2:5">
      <c r="B33" s="60" t="s">
        <v>354</v>
      </c>
      <c r="C33" s="62"/>
      <c r="D33" s="62"/>
    </row>
    <row r="34" spans="2:5">
      <c r="B34" s="60" t="s">
        <v>360</v>
      </c>
      <c r="C34" s="64">
        <f>D34*$F$4</f>
        <v>2242.5</v>
      </c>
      <c r="D34" s="283">
        <v>1950</v>
      </c>
      <c r="E34" s="1">
        <v>2250</v>
      </c>
    </row>
    <row r="35" spans="2:5">
      <c r="B35" s="60" t="s">
        <v>361</v>
      </c>
      <c r="C35" s="64">
        <f>D35*$F$4</f>
        <v>2357.5</v>
      </c>
      <c r="D35" s="283">
        <v>2050</v>
      </c>
      <c r="E35" s="1">
        <v>2350</v>
      </c>
    </row>
    <row r="36" spans="2:5">
      <c r="B36" s="60" t="s">
        <v>366</v>
      </c>
      <c r="C36" s="64">
        <f>D36*$F$4</f>
        <v>2989.9999999999995</v>
      </c>
      <c r="D36" s="283">
        <v>2600</v>
      </c>
      <c r="E36" s="1">
        <v>3000</v>
      </c>
    </row>
    <row r="37" spans="2:5">
      <c r="B37" s="60" t="s">
        <v>363</v>
      </c>
      <c r="C37" s="64">
        <f>D37*$F$4</f>
        <v>4370</v>
      </c>
      <c r="D37" s="283">
        <v>3800</v>
      </c>
      <c r="E37" s="1">
        <v>4500</v>
      </c>
    </row>
    <row r="38" spans="2:5">
      <c r="B38" s="60" t="s">
        <v>391</v>
      </c>
      <c r="C38" s="61">
        <f>C34</f>
        <v>2242.5</v>
      </c>
      <c r="D38" s="61">
        <f>D34</f>
        <v>1950</v>
      </c>
      <c r="E38" s="1">
        <v>2250</v>
      </c>
    </row>
    <row r="39" spans="2:5">
      <c r="B39" s="60" t="s">
        <v>355</v>
      </c>
      <c r="C39" s="62"/>
      <c r="D39" s="62"/>
    </row>
    <row r="40" spans="2:5">
      <c r="B40" s="60" t="s">
        <v>360</v>
      </c>
      <c r="C40" s="64">
        <f>D40*$F$4</f>
        <v>4370</v>
      </c>
      <c r="D40" s="283">
        <v>3800</v>
      </c>
      <c r="E40" s="1">
        <v>3700</v>
      </c>
    </row>
    <row r="41" spans="2:5">
      <c r="B41" s="60" t="s">
        <v>361</v>
      </c>
      <c r="C41" s="64">
        <f>D41*$F$4</f>
        <v>4600</v>
      </c>
      <c r="D41" s="283">
        <v>4000</v>
      </c>
      <c r="E41" s="1">
        <v>3900</v>
      </c>
    </row>
    <row r="42" spans="2:5">
      <c r="B42" s="60" t="s">
        <v>362</v>
      </c>
      <c r="C42" s="64">
        <f>D42*$F$4</f>
        <v>5175</v>
      </c>
      <c r="D42" s="283">
        <v>4500</v>
      </c>
      <c r="E42" s="1">
        <v>4500</v>
      </c>
    </row>
    <row r="43" spans="2:5">
      <c r="B43" s="60" t="s">
        <v>363</v>
      </c>
      <c r="C43" s="64">
        <f>D43*$F$4</f>
        <v>6899.9999999999991</v>
      </c>
      <c r="D43" s="283">
        <v>6000</v>
      </c>
      <c r="E43" s="1">
        <v>5500</v>
      </c>
    </row>
    <row r="44" spans="2:5">
      <c r="B44" s="60" t="s">
        <v>391</v>
      </c>
      <c r="C44" s="61">
        <f>C40</f>
        <v>4370</v>
      </c>
      <c r="D44" s="61">
        <f>D40</f>
        <v>3800</v>
      </c>
      <c r="E44" s="1">
        <v>3700</v>
      </c>
    </row>
    <row r="45" spans="2:5">
      <c r="B45" s="60" t="s">
        <v>356</v>
      </c>
      <c r="C45" s="62"/>
      <c r="D45" s="62"/>
    </row>
    <row r="46" spans="2:5">
      <c r="B46" s="60" t="s">
        <v>360</v>
      </c>
      <c r="C46" s="64">
        <f>D46*$F$4</f>
        <v>20700</v>
      </c>
      <c r="D46" s="283">
        <v>18000</v>
      </c>
      <c r="E46" s="1">
        <v>11000</v>
      </c>
    </row>
    <row r="47" spans="2:5">
      <c r="B47" s="60" t="s">
        <v>361</v>
      </c>
      <c r="C47" s="64">
        <f>D47*$F$4</f>
        <v>21850</v>
      </c>
      <c r="D47" s="283">
        <v>19000</v>
      </c>
      <c r="E47" s="1">
        <v>12000</v>
      </c>
    </row>
    <row r="48" spans="2:5">
      <c r="B48" s="60" t="s">
        <v>362</v>
      </c>
      <c r="C48" s="64">
        <f>D48*$F$4</f>
        <v>25299.999999999996</v>
      </c>
      <c r="D48" s="283">
        <v>22000</v>
      </c>
      <c r="E48" s="1">
        <v>13000</v>
      </c>
    </row>
    <row r="49" spans="2:5">
      <c r="B49" s="60" t="s">
        <v>363</v>
      </c>
      <c r="C49" s="64">
        <f>D49*$F$4</f>
        <v>31049.999999999996</v>
      </c>
      <c r="D49" s="283">
        <v>27000</v>
      </c>
      <c r="E49" s="1">
        <v>17000</v>
      </c>
    </row>
    <row r="50" spans="2:5" ht="12.75" thickBot="1">
      <c r="B50" s="65" t="s">
        <v>391</v>
      </c>
      <c r="C50" s="67">
        <f>C46</f>
        <v>20700</v>
      </c>
      <c r="D50" s="67">
        <f>D46</f>
        <v>18000</v>
      </c>
      <c r="E50" s="1">
        <v>11000</v>
      </c>
    </row>
    <row r="51" spans="2:5">
      <c r="B51" s="60"/>
      <c r="C51" s="62"/>
    </row>
    <row r="52" spans="2:5">
      <c r="B52" s="60"/>
      <c r="C52" s="64"/>
    </row>
    <row r="53" spans="2:5">
      <c r="B53" s="60"/>
      <c r="C53" s="64"/>
    </row>
    <row r="54" spans="2:5">
      <c r="B54" s="60"/>
      <c r="C54" s="64"/>
    </row>
    <row r="55" spans="2:5">
      <c r="B55" s="60"/>
      <c r="C55" s="64"/>
    </row>
    <row r="56" spans="2:5" ht="12.75" thickBot="1">
      <c r="B56" s="65"/>
      <c r="C56" s="67"/>
    </row>
  </sheetData>
  <sheetProtection algorithmName="SHA-512" hashValue="WphpxQTnPum3bQCAMLh3w4Ds9vj/IAyBq5tlW4I2HMVmCwmjTHeDpoK4r12ECkHOGtNQ+su35PImeIQHpkpxxA==" saltValue="H6hFnT0IwIr46HG30mKddA==" spinCount="100000" sheet="1" objects="1" scenarios="1"/>
  <pageMargins left="0.7" right="0.7" top="0.75" bottom="0.75" header="0.3" footer="0.3"/>
  <headerFooter>
    <oddFooter>&amp;L_x000D_&amp;1#&amp;"Calibri"&amp;10&amp;K000000 Intern gebruik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0EE2A-13AB-45E6-91B3-3F80877EC401}">
  <sheetPr codeName="Blad17">
    <tabColor rgb="FFFFC000"/>
  </sheetPr>
  <dimension ref="B1:D56"/>
  <sheetViews>
    <sheetView zoomScaleNormal="100" workbookViewId="0">
      <selection activeCell="F39" sqref="F39"/>
    </sheetView>
  </sheetViews>
  <sheetFormatPr defaultRowHeight="12"/>
  <cols>
    <col min="2" max="2" width="34" bestFit="1" customWidth="1"/>
    <col min="3" max="3" width="18.5703125" bestFit="1" customWidth="1"/>
    <col min="4" max="4" width="21.42578125" customWidth="1"/>
  </cols>
  <sheetData>
    <row r="1" spans="2:4" ht="12.75" thickBot="1"/>
    <row r="2" spans="2:4">
      <c r="B2" s="56" t="s">
        <v>357</v>
      </c>
      <c r="C2" s="66" t="s">
        <v>430</v>
      </c>
    </row>
    <row r="3" spans="2:4">
      <c r="B3" s="60" t="s">
        <v>359</v>
      </c>
      <c r="C3" s="62"/>
    </row>
    <row r="4" spans="2:4">
      <c r="B4" s="60" t="s">
        <v>360</v>
      </c>
      <c r="C4" s="64">
        <f>IF(NOT(KENGETALLEN!D61=""),KENGETALLEN!D61,KENGETALLEN!D60)</f>
        <v>6209.9999999999991</v>
      </c>
      <c r="D4" s="236"/>
    </row>
    <row r="5" spans="2:4">
      <c r="B5" s="60" t="s">
        <v>361</v>
      </c>
      <c r="C5" s="64">
        <f>IF(NOT(KENGETALLEN!E61=""),KENGETALLEN!E61,KENGETALLEN!E60)</f>
        <v>6554.9999999999991</v>
      </c>
      <c r="D5" s="236"/>
    </row>
    <row r="6" spans="2:4">
      <c r="B6" s="60" t="s">
        <v>362</v>
      </c>
      <c r="C6" s="64">
        <f>IF(NOT(KENGETALLEN!F61=""),KENGETALLEN!F61,KENGETALLEN!F60)</f>
        <v>6899.9999999999991</v>
      </c>
      <c r="D6" s="236"/>
    </row>
    <row r="7" spans="2:4">
      <c r="B7" s="60" t="s">
        <v>363</v>
      </c>
      <c r="C7" s="64">
        <f>IF(NOT(KENGETALLEN!G61=""),KENGETALLEN!G61,KENGETALLEN!G60)</f>
        <v>10350</v>
      </c>
      <c r="D7" s="236"/>
    </row>
    <row r="8" spans="2:4">
      <c r="B8" s="60" t="s">
        <v>391</v>
      </c>
      <c r="C8" s="64">
        <f>IF(NOT(KENGETALLEN!H61=""),KENGETALLEN!H61,KENGETALLEN!H60)</f>
        <v>6209.9999999999991</v>
      </c>
      <c r="D8" s="236"/>
    </row>
    <row r="9" spans="2:4">
      <c r="B9" s="60" t="s">
        <v>364</v>
      </c>
      <c r="C9" s="62"/>
      <c r="D9" s="236"/>
    </row>
    <row r="10" spans="2:4">
      <c r="B10" s="60" t="s">
        <v>360</v>
      </c>
      <c r="C10" s="64">
        <f>IF(NOT(KENGETALLEN!D65=""),KENGETALLEN!D65,KENGETALLEN!D64)</f>
        <v>5060</v>
      </c>
      <c r="D10" s="236"/>
    </row>
    <row r="11" spans="2:4">
      <c r="B11" s="60" t="s">
        <v>361</v>
      </c>
      <c r="C11" s="64">
        <f>IF(NOT(KENGETALLEN!E65=""),KENGETALLEN!E65,KENGETALLEN!E64)</f>
        <v>5405</v>
      </c>
      <c r="D11" s="236"/>
    </row>
    <row r="12" spans="2:4">
      <c r="B12" s="60" t="s">
        <v>362</v>
      </c>
      <c r="C12" s="64">
        <f>IF(NOT(KENGETALLEN!F65=""),KENGETALLEN!F65,KENGETALLEN!F64)</f>
        <v>5750</v>
      </c>
      <c r="D12" s="236"/>
    </row>
    <row r="13" spans="2:4">
      <c r="B13" s="60" t="s">
        <v>363</v>
      </c>
      <c r="C13" s="64">
        <f>IF(NOT(KENGETALLEN!G65=""),KENGETALLEN!G65,KENGETALLEN!G64)</f>
        <v>12649.999999999998</v>
      </c>
      <c r="D13" s="236"/>
    </row>
    <row r="14" spans="2:4">
      <c r="B14" s="60" t="s">
        <v>391</v>
      </c>
      <c r="C14" s="64">
        <f>IF(NOT(KENGETALLEN!H65=""),KENGETALLEN!H65,KENGETALLEN!H64)</f>
        <v>5060</v>
      </c>
      <c r="D14" s="236"/>
    </row>
    <row r="15" spans="2:4">
      <c r="B15" s="60" t="s">
        <v>365</v>
      </c>
      <c r="C15" s="62"/>
      <c r="D15" s="236"/>
    </row>
    <row r="16" spans="2:4">
      <c r="B16" s="60" t="s">
        <v>360</v>
      </c>
      <c r="C16" s="64">
        <f>IF(NOT(KENGETALLEN!D69=""),KENGETALLEN!D69,KENGETALLEN!D68)</f>
        <v>3679.9999999999995</v>
      </c>
      <c r="D16" s="236"/>
    </row>
    <row r="17" spans="2:4">
      <c r="B17" s="60" t="s">
        <v>361</v>
      </c>
      <c r="C17" s="64">
        <f>IF(NOT(KENGETALLEN!E69=""),KENGETALLEN!E69,KENGETALLEN!E68)</f>
        <v>3909.9999999999995</v>
      </c>
      <c r="D17" s="236"/>
    </row>
    <row r="18" spans="2:4">
      <c r="B18" s="60" t="s">
        <v>362</v>
      </c>
      <c r="C18" s="64">
        <f>IF(NOT(KENGETALLEN!F69=""),KENGETALLEN!F69,KENGETALLEN!F68)</f>
        <v>4024.9999999999995</v>
      </c>
      <c r="D18" s="236"/>
    </row>
    <row r="19" spans="2:4">
      <c r="B19" s="60" t="s">
        <v>363</v>
      </c>
      <c r="C19" s="64">
        <f>IF(NOT(KENGETALLEN!G69=""),KENGETALLEN!G69,KENGETALLEN!G68)</f>
        <v>6324.9999999999991</v>
      </c>
      <c r="D19" s="236"/>
    </row>
    <row r="20" spans="2:4">
      <c r="B20" s="60" t="s">
        <v>391</v>
      </c>
      <c r="C20" s="64">
        <f>IF(NOT(KENGETALLEN!H69=""),KENGETALLEN!H69,KENGETALLEN!H68)</f>
        <v>3679.9999999999995</v>
      </c>
      <c r="D20" s="236"/>
    </row>
    <row r="21" spans="2:4">
      <c r="B21" s="60" t="s">
        <v>352</v>
      </c>
      <c r="C21" s="62"/>
      <c r="D21" s="236"/>
    </row>
    <row r="22" spans="2:4">
      <c r="B22" s="60" t="s">
        <v>360</v>
      </c>
      <c r="C22" s="64">
        <f>IF(NOT(KENGETALLEN!D73=""),KENGETALLEN!D73,KENGETALLEN!D72)</f>
        <v>1265</v>
      </c>
      <c r="D22" s="236"/>
    </row>
    <row r="23" spans="2:4">
      <c r="B23" s="60" t="s">
        <v>361</v>
      </c>
      <c r="C23" s="64">
        <f>IF(NOT(KENGETALLEN!E73=""),KENGETALLEN!E73,KENGETALLEN!E72)</f>
        <v>2702.5</v>
      </c>
      <c r="D23" s="236"/>
    </row>
    <row r="24" spans="2:4">
      <c r="B24" s="60" t="s">
        <v>366</v>
      </c>
      <c r="C24" s="64">
        <f>IF(NOT(KENGETALLEN!F73=""),KENGETALLEN!F73,KENGETALLEN!F72)</f>
        <v>2817.5</v>
      </c>
      <c r="D24" s="236"/>
    </row>
    <row r="25" spans="2:4">
      <c r="B25" s="60" t="s">
        <v>363</v>
      </c>
      <c r="C25" s="64">
        <f>IF(NOT(KENGETALLEN!G73=""),KENGETALLEN!G73,KENGETALLEN!G72)</f>
        <v>4024.9999999999995</v>
      </c>
      <c r="D25" s="236"/>
    </row>
    <row r="26" spans="2:4">
      <c r="B26" s="60" t="s">
        <v>391</v>
      </c>
      <c r="C26" s="64">
        <f>IF(NOT(KENGETALLEN!H73=""),KENGETALLEN!H73,KENGETALLEN!H72)</f>
        <v>1265</v>
      </c>
      <c r="D26" s="236"/>
    </row>
    <row r="27" spans="2:4">
      <c r="B27" s="60" t="s">
        <v>353</v>
      </c>
      <c r="C27" s="62"/>
      <c r="D27" s="236"/>
    </row>
    <row r="28" spans="2:4">
      <c r="B28" s="60" t="s">
        <v>360</v>
      </c>
      <c r="C28" s="64">
        <f>IF(NOT(KENGETALLEN!D77=""),KENGETALLEN!D77,KENGETALLEN!D76)</f>
        <v>11500</v>
      </c>
      <c r="D28" s="236"/>
    </row>
    <row r="29" spans="2:4">
      <c r="B29" s="60" t="s">
        <v>367</v>
      </c>
      <c r="C29" s="64">
        <f>IF(NOT(KENGETALLEN!E77=""),KENGETALLEN!E77,KENGETALLEN!E76)</f>
        <v>24724.999999999996</v>
      </c>
      <c r="D29" s="236"/>
    </row>
    <row r="30" spans="2:4">
      <c r="B30" s="60" t="s">
        <v>368</v>
      </c>
      <c r="C30" s="64">
        <f>IF(NOT(KENGETALLEN!F77=""),KENGETALLEN!F77,KENGETALLEN!F76)</f>
        <v>25874.999999999996</v>
      </c>
      <c r="D30" s="236"/>
    </row>
    <row r="31" spans="2:4">
      <c r="B31" s="60" t="s">
        <v>369</v>
      </c>
      <c r="C31" s="64">
        <f>IF(NOT(KENGETALLEN!G77=""),KENGETALLEN!G77,KENGETALLEN!G76)</f>
        <v>36800</v>
      </c>
      <c r="D31" s="236"/>
    </row>
    <row r="32" spans="2:4">
      <c r="B32" s="60" t="s">
        <v>391</v>
      </c>
      <c r="C32" s="64">
        <f>IF(NOT(KENGETALLEN!H77=""),KENGETALLEN!H77,KENGETALLEN!H76)</f>
        <v>11500</v>
      </c>
      <c r="D32" s="236"/>
    </row>
    <row r="33" spans="2:4">
      <c r="B33" s="60" t="s">
        <v>354</v>
      </c>
      <c r="C33" s="62"/>
      <c r="D33" s="236"/>
    </row>
    <row r="34" spans="2:4">
      <c r="B34" s="60" t="s">
        <v>360</v>
      </c>
      <c r="C34" s="64">
        <f>IF(NOT(KENGETALLEN!D81=""),KENGETALLEN!D81,KENGETALLEN!D80)</f>
        <v>2242.5</v>
      </c>
      <c r="D34" s="236"/>
    </row>
    <row r="35" spans="2:4">
      <c r="B35" s="60" t="s">
        <v>361</v>
      </c>
      <c r="C35" s="64">
        <f>IF(NOT(KENGETALLEN!E81=""),KENGETALLEN!E81,KENGETALLEN!E80)</f>
        <v>2357.5</v>
      </c>
      <c r="D35" s="236"/>
    </row>
    <row r="36" spans="2:4">
      <c r="B36" s="60" t="s">
        <v>366</v>
      </c>
      <c r="C36" s="64">
        <f>IF(NOT(KENGETALLEN!F81=""),KENGETALLEN!F81,KENGETALLEN!F80)</f>
        <v>2989.9999999999995</v>
      </c>
      <c r="D36" s="236"/>
    </row>
    <row r="37" spans="2:4">
      <c r="B37" s="60" t="s">
        <v>363</v>
      </c>
      <c r="C37" s="64">
        <f>IF(NOT(KENGETALLEN!G81=""),KENGETALLEN!G81,KENGETALLEN!G80)</f>
        <v>4370</v>
      </c>
      <c r="D37" s="236"/>
    </row>
    <row r="38" spans="2:4">
      <c r="B38" s="60" t="s">
        <v>391</v>
      </c>
      <c r="C38" s="64">
        <f>IF(NOT(KENGETALLEN!H81=""),KENGETALLEN!H81,KENGETALLEN!H80)</f>
        <v>2242.5</v>
      </c>
      <c r="D38" s="236"/>
    </row>
    <row r="39" spans="2:4">
      <c r="B39" s="60" t="s">
        <v>355</v>
      </c>
      <c r="C39" s="62"/>
      <c r="D39" s="236"/>
    </row>
    <row r="40" spans="2:4">
      <c r="B40" s="60" t="s">
        <v>360</v>
      </c>
      <c r="C40" s="64">
        <f>IF(NOT(KENGETALLEN!D85=""),KENGETALLEN!D85,KENGETALLEN!D84)</f>
        <v>4370</v>
      </c>
      <c r="D40" s="236"/>
    </row>
    <row r="41" spans="2:4">
      <c r="B41" s="60" t="s">
        <v>361</v>
      </c>
      <c r="C41" s="64">
        <f>IF(NOT(KENGETALLEN!E85=""),KENGETALLEN!E85,KENGETALLEN!E84)</f>
        <v>4600</v>
      </c>
      <c r="D41" s="236"/>
    </row>
    <row r="42" spans="2:4">
      <c r="B42" s="60" t="s">
        <v>362</v>
      </c>
      <c r="C42" s="64">
        <f>IF(NOT(KENGETALLEN!F85=""),KENGETALLEN!F85,KENGETALLEN!F84)</f>
        <v>5175</v>
      </c>
      <c r="D42" s="236"/>
    </row>
    <row r="43" spans="2:4">
      <c r="B43" s="60" t="s">
        <v>363</v>
      </c>
      <c r="C43" s="64">
        <f>IF(NOT(KENGETALLEN!G85=""),KENGETALLEN!G85,KENGETALLEN!G84)</f>
        <v>6899.9999999999991</v>
      </c>
      <c r="D43" s="236"/>
    </row>
    <row r="44" spans="2:4">
      <c r="B44" s="60" t="s">
        <v>391</v>
      </c>
      <c r="C44" s="64">
        <f>IF(NOT(KENGETALLEN!H85=""),KENGETALLEN!H85,KENGETALLEN!H84)</f>
        <v>4370</v>
      </c>
      <c r="D44" s="236"/>
    </row>
    <row r="45" spans="2:4">
      <c r="B45" s="60" t="s">
        <v>356</v>
      </c>
      <c r="C45" s="62"/>
      <c r="D45" s="236"/>
    </row>
    <row r="46" spans="2:4">
      <c r="B46" s="60" t="s">
        <v>360</v>
      </c>
      <c r="C46" s="64">
        <f>IF(NOT(KENGETALLEN!D89=""),KENGETALLEN!D89,KENGETALLEN!D88)</f>
        <v>20700</v>
      </c>
      <c r="D46" s="236"/>
    </row>
    <row r="47" spans="2:4">
      <c r="B47" s="60" t="s">
        <v>361</v>
      </c>
      <c r="C47" s="64">
        <f>IF(NOT(KENGETALLEN!E89=""),KENGETALLEN!E89,KENGETALLEN!E88)</f>
        <v>21850</v>
      </c>
      <c r="D47" s="236"/>
    </row>
    <row r="48" spans="2:4">
      <c r="B48" s="60" t="s">
        <v>362</v>
      </c>
      <c r="C48" s="64">
        <f>IF(NOT(KENGETALLEN!F89=""),KENGETALLEN!F89,KENGETALLEN!F88)</f>
        <v>25299.999999999996</v>
      </c>
      <c r="D48" s="236"/>
    </row>
    <row r="49" spans="2:4">
      <c r="B49" s="60" t="s">
        <v>363</v>
      </c>
      <c r="C49" s="64">
        <f>IF(NOT(KENGETALLEN!G89=""),KENGETALLEN!G89,KENGETALLEN!G88)</f>
        <v>31049.999999999996</v>
      </c>
      <c r="D49" s="236"/>
    </row>
    <row r="50" spans="2:4" ht="12.75" thickBot="1">
      <c r="B50" s="65" t="s">
        <v>391</v>
      </c>
      <c r="C50" s="64">
        <f>IF(NOT(KENGETALLEN!H89=""),KENGETALLEN!H89,KENGETALLEN!H88)</f>
        <v>20700</v>
      </c>
      <c r="D50" s="236"/>
    </row>
    <row r="51" spans="2:4">
      <c r="B51" s="60"/>
      <c r="C51" s="62"/>
      <c r="D51" s="236"/>
    </row>
    <row r="52" spans="2:4">
      <c r="B52" s="60"/>
      <c r="C52" s="64"/>
      <c r="D52" s="236"/>
    </row>
    <row r="53" spans="2:4">
      <c r="B53" s="60"/>
      <c r="C53" s="64"/>
      <c r="D53" s="236"/>
    </row>
    <row r="54" spans="2:4">
      <c r="B54" s="60"/>
      <c r="C54" s="64"/>
      <c r="D54" s="236"/>
    </row>
    <row r="55" spans="2:4">
      <c r="B55" s="60"/>
      <c r="C55" s="64"/>
      <c r="D55" s="236"/>
    </row>
    <row r="56" spans="2:4" ht="12.75" thickBot="1">
      <c r="B56" s="65"/>
      <c r="C56" s="64"/>
      <c r="D56" s="236"/>
    </row>
  </sheetData>
  <sheetProtection algorithmName="SHA-512" hashValue="HXx8clCVPmvwK7YNWkLb7FZcDvMcgNw7jcVHirnrF9wdU0q9ZQ9gbQdh+o2DiuDOmxVyVkThw/tH0xy13T7umA==" saltValue="0fImD0RcVLAgPA3t6TbCig==" spinCount="100000" sheet="1" objects="1" scenarios="1"/>
  <pageMargins left="0.7" right="0.7" top="0.75" bottom="0.75" header="0.3" footer="0.3"/>
  <headerFooter>
    <oddFooter>&amp;L_x000D_&amp;1#&amp;"Calibri"&amp;10&amp;K000000 Intern gebruik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B2498-3601-4801-BD8E-9A0DE7185423}">
  <sheetPr codeName="Blad18">
    <tabColor rgb="FFFFC000"/>
  </sheetPr>
  <dimension ref="B1:K9"/>
  <sheetViews>
    <sheetView workbookViewId="0">
      <selection activeCell="F39" sqref="F39"/>
    </sheetView>
  </sheetViews>
  <sheetFormatPr defaultColWidth="9.140625" defaultRowHeight="12"/>
  <cols>
    <col min="1" max="1" width="31.85546875" style="1" bestFit="1" customWidth="1"/>
    <col min="2" max="2" width="19.28515625" style="1" bestFit="1" customWidth="1"/>
    <col min="3" max="4" width="35.42578125" style="1" bestFit="1" customWidth="1"/>
    <col min="5" max="5" width="8.85546875" style="1" bestFit="1" customWidth="1"/>
    <col min="6" max="6" width="31.85546875" style="1" bestFit="1" customWidth="1"/>
    <col min="7" max="7" width="14.85546875" style="1" bestFit="1" customWidth="1"/>
    <col min="8" max="8" width="20.42578125" style="1" bestFit="1" customWidth="1"/>
    <col min="9" max="9" width="35.42578125" style="1" bestFit="1" customWidth="1"/>
    <col min="10" max="10" width="20" style="1" bestFit="1" customWidth="1"/>
    <col min="11" max="11" width="14.28515625" style="1" bestFit="1" customWidth="1"/>
    <col min="12" max="16384" width="9.140625" style="1"/>
  </cols>
  <sheetData>
    <row r="1" spans="2:11" ht="12.75" thickBot="1"/>
    <row r="2" spans="2:11">
      <c r="B2" s="69"/>
      <c r="C2" s="57" t="s">
        <v>371</v>
      </c>
      <c r="D2" s="57" t="s">
        <v>372</v>
      </c>
      <c r="E2" s="57" t="s">
        <v>373</v>
      </c>
      <c r="F2" s="57" t="s">
        <v>374</v>
      </c>
      <c r="G2" s="57" t="s">
        <v>375</v>
      </c>
      <c r="H2" s="57"/>
      <c r="I2" s="57" t="s">
        <v>345</v>
      </c>
      <c r="J2" s="57" t="s">
        <v>378</v>
      </c>
      <c r="K2" s="57" t="s">
        <v>377</v>
      </c>
    </row>
    <row r="3" spans="2:11">
      <c r="B3" s="60" t="s">
        <v>586</v>
      </c>
      <c r="C3" s="54" t="s">
        <v>525</v>
      </c>
      <c r="D3" s="54" t="s">
        <v>525</v>
      </c>
      <c r="E3" s="68">
        <f>E7*$C$8</f>
        <v>2404.6499999999996</v>
      </c>
      <c r="F3" s="68">
        <f t="shared" ref="F3:G3" si="0">F7*$C$8</f>
        <v>2335.6499999999996</v>
      </c>
      <c r="G3" s="68">
        <f t="shared" si="0"/>
        <v>1756.05</v>
      </c>
      <c r="H3" s="54"/>
      <c r="I3" s="54" t="s">
        <v>525</v>
      </c>
      <c r="J3" s="68">
        <f t="shared" ref="J3:K3" si="1">J7*$C$8</f>
        <v>2656.5</v>
      </c>
      <c r="K3" s="68">
        <f t="shared" si="1"/>
        <v>1977.9999999999998</v>
      </c>
    </row>
    <row r="4" spans="2:11">
      <c r="B4" s="60" t="s">
        <v>585</v>
      </c>
      <c r="C4" s="54" t="s">
        <v>525</v>
      </c>
      <c r="D4" s="54" t="s">
        <v>525</v>
      </c>
      <c r="E4" s="68">
        <f t="shared" ref="E4:G4" si="2">E8*$C$8</f>
        <v>2234.4499999999998</v>
      </c>
      <c r="F4" s="68">
        <f t="shared" si="2"/>
        <v>2170.0499999999997</v>
      </c>
      <c r="G4" s="68">
        <f t="shared" si="2"/>
        <v>1631.85</v>
      </c>
      <c r="H4" s="54"/>
      <c r="I4" s="54" t="s">
        <v>525</v>
      </c>
      <c r="J4" s="68">
        <f t="shared" ref="J4:K4" si="3">J8*$C$8</f>
        <v>2469.0499999999997</v>
      </c>
      <c r="K4" s="68">
        <f t="shared" si="3"/>
        <v>1837.6999999999998</v>
      </c>
    </row>
    <row r="5" spans="2:11" ht="12.75" thickBot="1">
      <c r="B5" s="60" t="s">
        <v>403</v>
      </c>
      <c r="C5" s="70" t="s">
        <v>525</v>
      </c>
      <c r="D5" s="70" t="s">
        <v>525</v>
      </c>
      <c r="E5" s="68">
        <f t="shared" ref="E5:G5" si="4">E9*$C$8</f>
        <v>2064.25</v>
      </c>
      <c r="F5" s="68">
        <f t="shared" si="4"/>
        <v>2005.6</v>
      </c>
      <c r="G5" s="68">
        <f t="shared" si="4"/>
        <v>1507.6499999999999</v>
      </c>
      <c r="H5" s="70"/>
      <c r="I5" s="70" t="s">
        <v>525</v>
      </c>
      <c r="J5" s="68">
        <f t="shared" ref="J5:K5" si="5">J9*$C$8</f>
        <v>2280.4499999999998</v>
      </c>
      <c r="K5" s="68">
        <f t="shared" si="5"/>
        <v>1697.3999999999999</v>
      </c>
    </row>
    <row r="7" spans="2:11">
      <c r="C7" s="1" t="s">
        <v>616</v>
      </c>
      <c r="E7" s="286">
        <v>2091</v>
      </c>
      <c r="F7" s="286">
        <v>2031</v>
      </c>
      <c r="G7" s="286">
        <v>1527</v>
      </c>
      <c r="J7" s="286">
        <v>2310</v>
      </c>
      <c r="K7" s="286">
        <v>1720</v>
      </c>
    </row>
    <row r="8" spans="2:11">
      <c r="C8" s="265">
        <f>'Bron getallen sloop-nieuwbouw'!B13</f>
        <v>1.1499999999999999</v>
      </c>
      <c r="E8" s="286">
        <v>1943</v>
      </c>
      <c r="F8" s="286">
        <v>1887</v>
      </c>
      <c r="G8" s="286">
        <v>1419</v>
      </c>
      <c r="J8" s="286">
        <v>2147</v>
      </c>
      <c r="K8" s="286">
        <v>1598</v>
      </c>
    </row>
    <row r="9" spans="2:11" ht="12.75" thickBot="1">
      <c r="E9" s="287">
        <v>1795</v>
      </c>
      <c r="F9" s="287">
        <v>1744</v>
      </c>
      <c r="G9" s="287">
        <v>1311</v>
      </c>
      <c r="J9" s="287">
        <v>1983</v>
      </c>
      <c r="K9" s="287">
        <v>1476</v>
      </c>
    </row>
  </sheetData>
  <sheetProtection algorithmName="SHA-512" hashValue="a3gRnxRCRLrLkNLRo0FCrEjvEZIZZpcuA9lGXS2AEqdhc59V6lHI1hD+APKGssac+L12u+wbNKfRNtaluVMh9A==" saltValue="xEz7CNpEqCamy8c7oAhUZQ==" spinCount="100000" sheet="1" objects="1" scenarios="1"/>
  <pageMargins left="0.7" right="0.7" top="0.75" bottom="0.75" header="0.3" footer="0.3"/>
  <headerFooter>
    <oddFooter>&amp;L_x000D_&amp;1#&amp;"Calibri"&amp;10&amp;K000000 Intern gebruik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21FAF-CC5E-4A4F-9ACD-E2663DBB4EA6}">
  <sheetPr codeName="Blad19">
    <tabColor rgb="FFFFC000"/>
  </sheetPr>
  <dimension ref="B1:K3"/>
  <sheetViews>
    <sheetView workbookViewId="0">
      <selection activeCell="F39" sqref="F39"/>
    </sheetView>
  </sheetViews>
  <sheetFormatPr defaultColWidth="9.140625" defaultRowHeight="12"/>
  <cols>
    <col min="1" max="1" width="31.85546875" style="1" bestFit="1" customWidth="1"/>
    <col min="2" max="2" width="18" style="1" bestFit="1" customWidth="1"/>
    <col min="3" max="3" width="7.42578125" style="1" bestFit="1" customWidth="1"/>
    <col min="4" max="4" width="12.7109375" style="1" bestFit="1" customWidth="1"/>
    <col min="5" max="5" width="9.28515625" style="1" bestFit="1" customWidth="1"/>
    <col min="6" max="6" width="32" style="1" bestFit="1" customWidth="1"/>
    <col min="7" max="7" width="15" style="1" bestFit="1" customWidth="1"/>
    <col min="8" max="8" width="20.42578125" style="1" bestFit="1" customWidth="1"/>
    <col min="9" max="9" width="20.5703125" style="1" bestFit="1" customWidth="1"/>
    <col min="10" max="10" width="20.140625" style="1" bestFit="1" customWidth="1"/>
    <col min="11" max="11" width="14.42578125" style="1" bestFit="1" customWidth="1"/>
    <col min="12" max="16384" width="9.140625" style="1"/>
  </cols>
  <sheetData>
    <row r="1" spans="2:11" ht="12.75" thickBot="1"/>
    <row r="2" spans="2:11">
      <c r="B2" s="69"/>
      <c r="C2" s="57" t="s">
        <v>371</v>
      </c>
      <c r="D2" s="57" t="s">
        <v>372</v>
      </c>
      <c r="E2" s="57" t="s">
        <v>373</v>
      </c>
      <c r="F2" s="57" t="s">
        <v>374</v>
      </c>
      <c r="G2" s="57" t="s">
        <v>375</v>
      </c>
      <c r="H2" s="57"/>
      <c r="I2" s="57" t="s">
        <v>345</v>
      </c>
      <c r="J2" s="57" t="s">
        <v>378</v>
      </c>
      <c r="K2" s="57" t="s">
        <v>377</v>
      </c>
    </row>
    <row r="3" spans="2:11">
      <c r="B3" s="60" t="s">
        <v>430</v>
      </c>
      <c r="C3" s="105" t="s">
        <v>525</v>
      </c>
      <c r="D3" s="105" t="s">
        <v>525</v>
      </c>
      <c r="E3" s="105" t="e">
        <f>IF(NOT(KENGETALLEN!$E$121=""),KENGETALLEN!$E$121,KENGETALLEN!$D$121)</f>
        <v>#N/A</v>
      </c>
      <c r="F3" s="105" t="e">
        <f>IF(NOT(KENGETALLEN!$E$117=""),KENGETALLEN!$E$117,KENGETALLEN!$D$117)</f>
        <v>#N/A</v>
      </c>
      <c r="G3" s="105" t="e">
        <f>IF(NOT(KENGETALLEN!$E$118=""),KENGETALLEN!$E$118,KENGETALLEN!$D$118)</f>
        <v>#N/A</v>
      </c>
      <c r="H3" s="105"/>
      <c r="I3" s="105" t="s">
        <v>525</v>
      </c>
      <c r="J3" s="105" t="e">
        <f>IF(NOT(KENGETALLEN!$E$119=""),KENGETALLEN!$E$119,KENGETALLEN!$D$119)</f>
        <v>#N/A</v>
      </c>
      <c r="K3" s="105" t="e">
        <f>IF(NOT(KENGETALLEN!$E$120=""),KENGETALLEN!$E$120,KENGETALLEN!$D$120)</f>
        <v>#N/A</v>
      </c>
    </row>
  </sheetData>
  <sheetProtection algorithmName="SHA-512" hashValue="s8EiykLEUJlJWfbcYXfmkz6CCiTRqNRescbKLCprehng0nIAFnh1N6BIO2yh65MLmdZhBfJz/f4F0cXJXLrbQA==" saltValue="XcVsNZRginUDPMvoAefkeQ==" spinCount="100000" sheet="1" objects="1" scenarios="1"/>
  <pageMargins left="0.7" right="0.7" top="0.75" bottom="0.75" header="0.3" footer="0.3"/>
  <headerFooter>
    <oddFooter>&amp;L_x000D_&amp;1#&amp;"Calibri"&amp;10&amp;K000000 Intern gebruik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D3296-DB7A-4F0B-9155-D3C458289D25}">
  <sheetPr codeName="Blad20">
    <tabColor rgb="FFFFC000"/>
  </sheetPr>
  <dimension ref="A1:F110"/>
  <sheetViews>
    <sheetView workbookViewId="0">
      <selection activeCell="F39" sqref="F39"/>
    </sheetView>
  </sheetViews>
  <sheetFormatPr defaultRowHeight="12"/>
  <cols>
    <col min="1" max="1" width="30" bestFit="1" customWidth="1"/>
    <col min="2" max="2" width="23.5703125" bestFit="1" customWidth="1"/>
    <col min="3" max="3" width="23" bestFit="1" customWidth="1"/>
    <col min="5" max="5" width="20.42578125" bestFit="1" customWidth="1"/>
    <col min="6" max="6" width="19.42578125" bestFit="1" customWidth="1"/>
  </cols>
  <sheetData>
    <row r="1" spans="1:6">
      <c r="A1" s="2" t="s">
        <v>3</v>
      </c>
      <c r="B1" s="2" t="s">
        <v>586</v>
      </c>
      <c r="C1" s="2" t="s">
        <v>407</v>
      </c>
      <c r="E1" s="2" t="s">
        <v>3</v>
      </c>
      <c r="F1" s="2" t="s">
        <v>585</v>
      </c>
    </row>
    <row r="2" spans="1:6">
      <c r="B2" t="s">
        <v>409</v>
      </c>
      <c r="E2" t="s">
        <v>85</v>
      </c>
      <c r="F2" t="s">
        <v>85</v>
      </c>
    </row>
    <row r="3" spans="1:6">
      <c r="A3" t="s">
        <v>20</v>
      </c>
      <c r="B3" t="s">
        <v>596</v>
      </c>
      <c r="C3" t="str">
        <f>A3</f>
        <v>Amsterdam</v>
      </c>
      <c r="E3" t="s">
        <v>138</v>
      </c>
      <c r="F3" t="s">
        <v>433</v>
      </c>
    </row>
    <row r="4" spans="1:6">
      <c r="A4" t="s">
        <v>20</v>
      </c>
      <c r="B4" t="s">
        <v>404</v>
      </c>
      <c r="C4" t="str">
        <f t="shared" ref="C4:C22" si="0">A4</f>
        <v>Amsterdam</v>
      </c>
      <c r="E4" t="s">
        <v>30</v>
      </c>
      <c r="F4" t="s">
        <v>608</v>
      </c>
    </row>
    <row r="5" spans="1:6">
      <c r="A5" t="s">
        <v>165</v>
      </c>
      <c r="B5" t="s">
        <v>598</v>
      </c>
      <c r="C5" t="str">
        <f t="shared" si="0"/>
        <v>Lelystad</v>
      </c>
      <c r="E5" t="s">
        <v>55</v>
      </c>
      <c r="F5" t="s">
        <v>608</v>
      </c>
    </row>
    <row r="6" spans="1:6">
      <c r="A6" t="s">
        <v>329</v>
      </c>
      <c r="B6" t="s">
        <v>597</v>
      </c>
      <c r="C6" t="str">
        <f t="shared" si="0"/>
        <v>Zaanstad</v>
      </c>
      <c r="E6" t="s">
        <v>122</v>
      </c>
      <c r="F6" t="s">
        <v>608</v>
      </c>
    </row>
    <row r="7" spans="1:6">
      <c r="A7" t="s">
        <v>250</v>
      </c>
      <c r="B7" t="s">
        <v>594</v>
      </c>
      <c r="C7" t="str">
        <f t="shared" si="0"/>
        <v>Schiedam</v>
      </c>
      <c r="E7" t="s">
        <v>151</v>
      </c>
      <c r="F7" t="s">
        <v>608</v>
      </c>
    </row>
    <row r="8" spans="1:6">
      <c r="A8" t="s">
        <v>245</v>
      </c>
      <c r="B8" t="s">
        <v>406</v>
      </c>
      <c r="C8" t="str">
        <f t="shared" si="0"/>
        <v>Rotterdam</v>
      </c>
      <c r="E8" t="s">
        <v>157</v>
      </c>
      <c r="F8" t="s">
        <v>608</v>
      </c>
    </row>
    <row r="9" spans="1:6">
      <c r="A9" t="s">
        <v>604</v>
      </c>
      <c r="B9" t="s">
        <v>595</v>
      </c>
      <c r="C9" t="str">
        <f t="shared" si="0"/>
        <v>'s-Gravenhage (gemeente)</v>
      </c>
      <c r="E9" t="s">
        <v>253</v>
      </c>
      <c r="F9" t="s">
        <v>608</v>
      </c>
    </row>
    <row r="10" spans="1:6">
      <c r="A10" t="s">
        <v>606</v>
      </c>
      <c r="B10" t="s">
        <v>599</v>
      </c>
      <c r="C10" t="str">
        <f t="shared" si="0"/>
        <v>Utrecht (gemeente)</v>
      </c>
      <c r="E10" t="s">
        <v>299</v>
      </c>
      <c r="F10" t="s">
        <v>608</v>
      </c>
    </row>
    <row r="11" spans="1:6">
      <c r="A11" t="s">
        <v>194</v>
      </c>
      <c r="B11" t="s">
        <v>405</v>
      </c>
      <c r="C11" t="str">
        <f t="shared" si="0"/>
        <v>Nieuwegein</v>
      </c>
      <c r="E11" t="s">
        <v>193</v>
      </c>
      <c r="F11" t="s">
        <v>434</v>
      </c>
    </row>
    <row r="12" spans="1:6">
      <c r="A12" t="s">
        <v>605</v>
      </c>
      <c r="B12" t="s">
        <v>588</v>
      </c>
      <c r="C12" t="str">
        <f t="shared" si="0"/>
        <v>Groningen (gemeente)</v>
      </c>
      <c r="E12" t="s">
        <v>310</v>
      </c>
      <c r="F12" t="s">
        <v>434</v>
      </c>
    </row>
    <row r="13" spans="1:6">
      <c r="A13" t="s">
        <v>296</v>
      </c>
      <c r="B13" t="s">
        <v>609</v>
      </c>
      <c r="C13" t="str">
        <f t="shared" si="0"/>
        <v>Vlaardingen</v>
      </c>
      <c r="E13" t="s">
        <v>166</v>
      </c>
      <c r="F13" t="s">
        <v>434</v>
      </c>
    </row>
    <row r="14" spans="1:6">
      <c r="A14" t="s">
        <v>66</v>
      </c>
      <c r="B14" t="s">
        <v>600</v>
      </c>
      <c r="C14" t="str">
        <f t="shared" si="0"/>
        <v>Delft</v>
      </c>
      <c r="E14" t="s">
        <v>175</v>
      </c>
      <c r="F14" t="s">
        <v>434</v>
      </c>
    </row>
    <row r="15" spans="1:6">
      <c r="A15" t="s">
        <v>75</v>
      </c>
      <c r="B15" t="s">
        <v>601</v>
      </c>
      <c r="C15" t="str">
        <f t="shared" si="0"/>
        <v>Dordrecht</v>
      </c>
      <c r="E15" t="s">
        <v>242</v>
      </c>
      <c r="F15" t="s">
        <v>434</v>
      </c>
    </row>
    <row r="16" spans="1:6">
      <c r="A16" t="s">
        <v>244</v>
      </c>
      <c r="B16" t="s">
        <v>602</v>
      </c>
      <c r="C16" t="str">
        <f t="shared" si="0"/>
        <v>Roosendaal</v>
      </c>
      <c r="E16" t="s">
        <v>241</v>
      </c>
      <c r="F16" t="s">
        <v>434</v>
      </c>
    </row>
    <row r="17" spans="1:6">
      <c r="A17" t="s">
        <v>88</v>
      </c>
      <c r="B17" t="s">
        <v>592</v>
      </c>
      <c r="C17" t="str">
        <f t="shared" si="0"/>
        <v>Eindhoven</v>
      </c>
      <c r="E17" t="s">
        <v>81</v>
      </c>
      <c r="F17" t="s">
        <v>434</v>
      </c>
    </row>
    <row r="18" spans="1:6">
      <c r="A18" t="s">
        <v>22</v>
      </c>
      <c r="B18" t="s">
        <v>589</v>
      </c>
      <c r="C18" t="str">
        <f t="shared" si="0"/>
        <v>Arnhem</v>
      </c>
      <c r="E18" t="s">
        <v>178</v>
      </c>
      <c r="F18" t="s">
        <v>435</v>
      </c>
    </row>
    <row r="19" spans="1:6">
      <c r="A19" t="s">
        <v>276</v>
      </c>
      <c r="B19" t="s">
        <v>593</v>
      </c>
      <c r="C19" t="str">
        <f t="shared" si="0"/>
        <v>Tilburg</v>
      </c>
      <c r="E19" t="s">
        <v>87</v>
      </c>
      <c r="F19" t="s">
        <v>435</v>
      </c>
    </row>
    <row r="20" spans="1:6">
      <c r="A20" t="s">
        <v>52</v>
      </c>
      <c r="B20" t="s">
        <v>591</v>
      </c>
      <c r="C20" t="str">
        <f t="shared" si="0"/>
        <v>Breda</v>
      </c>
      <c r="E20" t="s">
        <v>108</v>
      </c>
      <c r="F20" t="s">
        <v>435</v>
      </c>
    </row>
    <row r="21" spans="1:6">
      <c r="A21" t="s">
        <v>161</v>
      </c>
      <c r="B21" t="s">
        <v>587</v>
      </c>
      <c r="C21" t="str">
        <f t="shared" si="0"/>
        <v>Leeuwarden</v>
      </c>
      <c r="E21" t="s">
        <v>180</v>
      </c>
      <c r="F21" t="s">
        <v>435</v>
      </c>
    </row>
    <row r="22" spans="1:6">
      <c r="A22" t="s">
        <v>122</v>
      </c>
      <c r="B22" t="s">
        <v>590</v>
      </c>
      <c r="C22" t="str">
        <f t="shared" si="0"/>
        <v>Heerlen</v>
      </c>
      <c r="E22" t="s">
        <v>285</v>
      </c>
      <c r="F22" t="s">
        <v>435</v>
      </c>
    </row>
    <row r="23" spans="1:6">
      <c r="E23" t="s">
        <v>286</v>
      </c>
      <c r="F23" t="s">
        <v>435</v>
      </c>
    </row>
    <row r="24" spans="1:6">
      <c r="E24" t="s">
        <v>29</v>
      </c>
      <c r="F24" t="s">
        <v>436</v>
      </c>
    </row>
    <row r="25" spans="1:6">
      <c r="E25" t="s">
        <v>255</v>
      </c>
      <c r="F25" t="s">
        <v>436</v>
      </c>
    </row>
    <row r="26" spans="1:6">
      <c r="E26" t="s">
        <v>267</v>
      </c>
      <c r="F26" t="s">
        <v>436</v>
      </c>
    </row>
    <row r="27" spans="1:6">
      <c r="E27" t="s">
        <v>145</v>
      </c>
      <c r="F27" t="s">
        <v>437</v>
      </c>
    </row>
    <row r="28" spans="1:6">
      <c r="E28" t="s">
        <v>257</v>
      </c>
      <c r="F28" t="s">
        <v>437</v>
      </c>
    </row>
    <row r="29" spans="1:6">
      <c r="E29" t="s">
        <v>270</v>
      </c>
      <c r="F29" t="s">
        <v>437</v>
      </c>
    </row>
    <row r="30" spans="1:6">
      <c r="E30" t="s">
        <v>7</v>
      </c>
      <c r="F30" t="s">
        <v>438</v>
      </c>
    </row>
    <row r="31" spans="1:6">
      <c r="E31" t="s">
        <v>37</v>
      </c>
      <c r="F31" t="s">
        <v>438</v>
      </c>
    </row>
    <row r="32" spans="1:6">
      <c r="E32" t="s">
        <v>53</v>
      </c>
      <c r="F32" t="s">
        <v>438</v>
      </c>
    </row>
    <row r="33" spans="5:6">
      <c r="E33" t="s">
        <v>73</v>
      </c>
      <c r="F33" t="s">
        <v>438</v>
      </c>
    </row>
    <row r="34" spans="5:6">
      <c r="E34" t="s">
        <v>214</v>
      </c>
      <c r="F34" t="s">
        <v>438</v>
      </c>
    </row>
    <row r="35" spans="5:6">
      <c r="E35" t="s">
        <v>189</v>
      </c>
      <c r="F35" t="s">
        <v>438</v>
      </c>
    </row>
    <row r="36" spans="5:6">
      <c r="E36" t="s">
        <v>439</v>
      </c>
      <c r="F36" t="s">
        <v>438</v>
      </c>
    </row>
    <row r="37" spans="5:6">
      <c r="E37" t="s">
        <v>323</v>
      </c>
      <c r="F37" t="s">
        <v>438</v>
      </c>
    </row>
    <row r="38" spans="5:6">
      <c r="E38" t="s">
        <v>8</v>
      </c>
      <c r="F38" t="s">
        <v>603</v>
      </c>
    </row>
    <row r="39" spans="5:6">
      <c r="E39" t="s">
        <v>65</v>
      </c>
      <c r="F39" t="s">
        <v>603</v>
      </c>
    </row>
    <row r="40" spans="5:6">
      <c r="E40" t="s">
        <v>199</v>
      </c>
      <c r="F40" t="s">
        <v>603</v>
      </c>
    </row>
    <row r="41" spans="5:6">
      <c r="E41" t="s">
        <v>280</v>
      </c>
      <c r="F41" t="s">
        <v>603</v>
      </c>
    </row>
    <row r="42" spans="5:6">
      <c r="E42" t="s">
        <v>116</v>
      </c>
      <c r="F42" t="s">
        <v>603</v>
      </c>
    </row>
    <row r="43" spans="5:6">
      <c r="E43" t="s">
        <v>161</v>
      </c>
      <c r="F43" t="s">
        <v>603</v>
      </c>
    </row>
    <row r="44" spans="5:6">
      <c r="E44" t="s">
        <v>303</v>
      </c>
      <c r="F44" t="s">
        <v>603</v>
      </c>
    </row>
    <row r="45" spans="5:6">
      <c r="E45" t="s">
        <v>5</v>
      </c>
      <c r="F45" t="s">
        <v>440</v>
      </c>
    </row>
    <row r="46" spans="5:6">
      <c r="E46" t="s">
        <v>48</v>
      </c>
      <c r="F46" t="s">
        <v>440</v>
      </c>
    </row>
    <row r="47" spans="5:6">
      <c r="E47" t="s">
        <v>61</v>
      </c>
      <c r="F47" t="s">
        <v>440</v>
      </c>
    </row>
    <row r="48" spans="5:6">
      <c r="E48" t="s">
        <v>90</v>
      </c>
      <c r="F48" t="s">
        <v>440</v>
      </c>
    </row>
    <row r="49" spans="5:6">
      <c r="E49" t="s">
        <v>113</v>
      </c>
      <c r="F49" t="s">
        <v>440</v>
      </c>
    </row>
    <row r="50" spans="5:6">
      <c r="E50" t="s">
        <v>140</v>
      </c>
      <c r="F50" t="s">
        <v>440</v>
      </c>
    </row>
    <row r="51" spans="5:6">
      <c r="E51" t="s">
        <v>12</v>
      </c>
      <c r="F51" t="s">
        <v>441</v>
      </c>
    </row>
    <row r="52" spans="5:6">
      <c r="E52" t="s">
        <v>49</v>
      </c>
      <c r="F52" t="s">
        <v>441</v>
      </c>
    </row>
    <row r="53" spans="5:6">
      <c r="E53" t="s">
        <v>71</v>
      </c>
      <c r="F53" t="s">
        <v>441</v>
      </c>
    </row>
    <row r="54" spans="5:6">
      <c r="E54" t="s">
        <v>92</v>
      </c>
      <c r="F54" t="s">
        <v>441</v>
      </c>
    </row>
    <row r="55" spans="5:6">
      <c r="E55" t="s">
        <v>109</v>
      </c>
      <c r="F55" t="s">
        <v>441</v>
      </c>
    </row>
    <row r="56" spans="5:6">
      <c r="E56" t="s">
        <v>126</v>
      </c>
      <c r="F56" t="s">
        <v>441</v>
      </c>
    </row>
    <row r="57" spans="5:6">
      <c r="E57" t="s">
        <v>129</v>
      </c>
      <c r="F57" t="s">
        <v>441</v>
      </c>
    </row>
    <row r="58" spans="5:6">
      <c r="E58" t="s">
        <v>137</v>
      </c>
      <c r="F58" t="s">
        <v>441</v>
      </c>
    </row>
    <row r="59" spans="5:6">
      <c r="E59" t="s">
        <v>173</v>
      </c>
      <c r="F59" t="s">
        <v>441</v>
      </c>
    </row>
    <row r="60" spans="5:6">
      <c r="E60" t="s">
        <v>211</v>
      </c>
      <c r="F60" t="s">
        <v>441</v>
      </c>
    </row>
    <row r="61" spans="5:6">
      <c r="E61" t="s">
        <v>239</v>
      </c>
      <c r="F61" t="s">
        <v>441</v>
      </c>
    </row>
    <row r="62" spans="5:6">
      <c r="E62" t="s">
        <v>277</v>
      </c>
      <c r="F62" t="s">
        <v>441</v>
      </c>
    </row>
    <row r="63" spans="5:6">
      <c r="E63" t="s">
        <v>278</v>
      </c>
      <c r="F63" t="s">
        <v>441</v>
      </c>
    </row>
    <row r="64" spans="5:6">
      <c r="E64" t="s">
        <v>319</v>
      </c>
      <c r="F64" t="s">
        <v>441</v>
      </c>
    </row>
    <row r="65" spans="5:6">
      <c r="E65" t="s">
        <v>31</v>
      </c>
      <c r="F65" t="s">
        <v>442</v>
      </c>
    </row>
    <row r="66" spans="5:6">
      <c r="E66" t="s">
        <v>34</v>
      </c>
      <c r="F66" t="s">
        <v>442</v>
      </c>
    </row>
    <row r="67" spans="5:6">
      <c r="E67" t="s">
        <v>100</v>
      </c>
      <c r="F67" t="s">
        <v>442</v>
      </c>
    </row>
    <row r="68" spans="5:6">
      <c r="E68" t="s">
        <v>142</v>
      </c>
      <c r="F68" t="s">
        <v>442</v>
      </c>
    </row>
    <row r="69" spans="5:6">
      <c r="E69" t="s">
        <v>191</v>
      </c>
      <c r="F69" t="s">
        <v>442</v>
      </c>
    </row>
    <row r="70" spans="5:6">
      <c r="E70" t="s">
        <v>226</v>
      </c>
      <c r="F70" t="s">
        <v>442</v>
      </c>
    </row>
    <row r="71" spans="5:6">
      <c r="E71" t="s">
        <v>293</v>
      </c>
      <c r="F71" t="s">
        <v>442</v>
      </c>
    </row>
    <row r="72" spans="5:6">
      <c r="E72" t="s">
        <v>294</v>
      </c>
      <c r="F72" t="s">
        <v>442</v>
      </c>
    </row>
    <row r="73" spans="5:6">
      <c r="E73" t="s">
        <v>209</v>
      </c>
      <c r="F73" t="s">
        <v>432</v>
      </c>
    </row>
    <row r="74" spans="5:6">
      <c r="E74" t="s">
        <v>227</v>
      </c>
      <c r="F74" t="s">
        <v>432</v>
      </c>
    </row>
    <row r="75" spans="5:6">
      <c r="E75" t="s">
        <v>262</v>
      </c>
      <c r="F75" t="s">
        <v>432</v>
      </c>
    </row>
    <row r="76" spans="5:6">
      <c r="E76" t="s">
        <v>288</v>
      </c>
      <c r="F76" t="s">
        <v>432</v>
      </c>
    </row>
    <row r="77" spans="5:6">
      <c r="E77" t="s">
        <v>316</v>
      </c>
      <c r="F77" t="s">
        <v>432</v>
      </c>
    </row>
    <row r="110" spans="1:1">
      <c r="A110" s="3"/>
    </row>
  </sheetData>
  <sheetProtection algorithmName="SHA-512" hashValue="QGSpmiMK6eRXNTniLdzNKjiFLD1j6MFd1dNlWVyJYGMWXrP1W7Ap+h2ZYbuvxbKr2wM2mmjZbaljmP/sBSebCA==" saltValue="0BfD2VHOU1J8mZ15CG28Hg==" spinCount="100000" sheet="1" objects="1" scenarios="1"/>
  <pageMargins left="0.7" right="0.7" top="0.75" bottom="0.75" header="0.3" footer="0.3"/>
  <pageSetup paperSize="9" orientation="portrait" r:id="rId1"/>
  <headerFooter>
    <oddFooter>&amp;L_x000D_&amp;1#&amp;"Calibri"&amp;10&amp;K000000 Intern gebruik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7F095-D00C-454D-A084-246D5B2E309B}">
  <sheetPr codeName="Blad2">
    <tabColor theme="9" tint="0.39997558519241921"/>
  </sheetPr>
  <dimension ref="B1:AQ21"/>
  <sheetViews>
    <sheetView zoomScale="83" zoomScaleNormal="100" workbookViewId="0">
      <selection activeCell="K21" sqref="K21"/>
    </sheetView>
  </sheetViews>
  <sheetFormatPr defaultColWidth="8.85546875" defaultRowHeight="30" customHeight="1"/>
  <cols>
    <col min="1" max="1" width="33.42578125" style="1" customWidth="1"/>
    <col min="2" max="2" width="20.7109375" style="1" customWidth="1"/>
    <col min="3" max="3" width="39.140625" style="1" bestFit="1" customWidth="1"/>
    <col min="4" max="4" width="36.140625" style="1" customWidth="1"/>
    <col min="5" max="5" width="24.85546875" style="1" customWidth="1"/>
    <col min="6" max="6" width="17.7109375" style="1" customWidth="1"/>
    <col min="7" max="7" width="18.5703125" style="1" customWidth="1"/>
    <col min="8" max="8" width="19.42578125" style="1" customWidth="1"/>
    <col min="9" max="9" width="17" style="1" customWidth="1"/>
    <col min="10" max="10" width="17.5703125" style="1" customWidth="1"/>
    <col min="11" max="11" width="20.42578125" style="1" customWidth="1"/>
    <col min="12" max="12" width="4.7109375" style="1" customWidth="1"/>
    <col min="13" max="13" width="34.28515625" style="1" customWidth="1"/>
    <col min="14" max="14" width="19.7109375" style="1" customWidth="1"/>
    <col min="15" max="15" width="18.42578125" style="1" customWidth="1"/>
    <col min="16" max="16" width="17.28515625" style="1" customWidth="1"/>
    <col min="17" max="17" width="20" style="1" customWidth="1"/>
    <col min="18" max="18" width="18.85546875" style="1" customWidth="1"/>
    <col min="19" max="19" width="17.5703125" style="1" customWidth="1"/>
    <col min="20" max="20" width="17.42578125" style="1" customWidth="1"/>
    <col min="21" max="22" width="15" style="1" customWidth="1"/>
    <col min="23" max="23" width="15.42578125" style="1" customWidth="1"/>
    <col min="24" max="24" width="18.85546875" style="1" customWidth="1"/>
    <col min="25" max="25" width="14.5703125" style="1" customWidth="1"/>
    <col min="26" max="26" width="21.140625" style="1" customWidth="1"/>
    <col min="27" max="27" width="8.85546875" style="1"/>
    <col min="28" max="28" width="31" style="1" customWidth="1"/>
    <col min="29" max="29" width="23.140625" style="1" customWidth="1"/>
    <col min="30" max="30" width="17" style="1" customWidth="1"/>
    <col min="31" max="31" width="28.42578125" style="1" customWidth="1"/>
    <col min="32" max="32" width="17.5703125" style="1" customWidth="1"/>
    <col min="33" max="33" width="33.140625" style="1" customWidth="1"/>
    <col min="34" max="34" width="21" style="1" customWidth="1"/>
    <col min="35" max="35" width="20" style="1" customWidth="1"/>
    <col min="36" max="36" width="17.28515625" style="1" customWidth="1"/>
    <col min="37" max="37" width="15.7109375" style="1" customWidth="1"/>
    <col min="38" max="38" width="17.28515625" style="1" customWidth="1"/>
    <col min="39" max="39" width="14.28515625" style="1" customWidth="1"/>
    <col min="40" max="40" width="19.28515625" style="1" customWidth="1"/>
    <col min="41" max="41" width="18.7109375" style="1" customWidth="1"/>
    <col min="42" max="16384" width="8.85546875" style="1"/>
  </cols>
  <sheetData>
    <row r="1" spans="2:43" ht="52.5" customHeight="1">
      <c r="D1" s="5"/>
      <c r="E1" s="5"/>
      <c r="F1" s="5"/>
      <c r="G1" s="5"/>
      <c r="H1" s="5"/>
      <c r="I1" s="5"/>
      <c r="J1" s="5"/>
      <c r="K1" s="5"/>
      <c r="L1" s="5"/>
      <c r="M1" s="5"/>
      <c r="N1" s="9"/>
      <c r="O1" s="9"/>
      <c r="P1" s="9"/>
      <c r="Q1" s="8"/>
      <c r="R1" s="8"/>
      <c r="S1" s="8"/>
      <c r="T1" s="8"/>
      <c r="U1" s="4" t="e">
        <f>VLOOKUP(D6,'Type gebied'!$E$1:$F$88,2,FALSE)</f>
        <v>#N/A</v>
      </c>
      <c r="V1" s="4" t="e">
        <f>VLOOKUP(D6,'Type gebied'!$A$3:$B$25,2,FALSE)</f>
        <v>#N/A</v>
      </c>
      <c r="W1" s="4">
        <f>IF(D8="Niet-prioritair gebied",D14,IF(ISERROR(V1),D14,D10))</f>
        <v>0</v>
      </c>
      <c r="X1" s="4" t="s">
        <v>409</v>
      </c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</row>
    <row r="2" spans="2:43" ht="18">
      <c r="D2" s="5"/>
      <c r="E2" s="5"/>
      <c r="F2" s="5"/>
      <c r="G2" s="5"/>
      <c r="H2" s="5"/>
      <c r="I2" s="5"/>
      <c r="J2" s="5"/>
      <c r="K2" s="5"/>
      <c r="L2" s="5"/>
      <c r="M2" s="5"/>
      <c r="N2" s="9"/>
      <c r="O2" s="9"/>
      <c r="P2" s="9"/>
      <c r="Q2" s="8"/>
      <c r="R2" s="8"/>
      <c r="S2" s="8"/>
      <c r="T2" s="8"/>
      <c r="U2" s="8"/>
      <c r="V2" s="8"/>
      <c r="W2" s="8"/>
      <c r="X2" s="4" t="s">
        <v>586</v>
      </c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</row>
    <row r="3" spans="2:43" ht="30" customHeight="1">
      <c r="X3" s="4" t="s">
        <v>585</v>
      </c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</row>
    <row r="4" spans="2:43" ht="30" customHeight="1" thickBot="1">
      <c r="X4" s="4" t="s">
        <v>403</v>
      </c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2:43" ht="30" customHeight="1">
      <c r="B5" s="107"/>
      <c r="C5" s="108"/>
      <c r="D5" s="108"/>
      <c r="E5" s="109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</row>
    <row r="6" spans="2:43" ht="20.25">
      <c r="B6" s="110"/>
      <c r="C6" s="73" t="s">
        <v>3</v>
      </c>
      <c r="D6" s="75" t="s">
        <v>409</v>
      </c>
      <c r="E6" s="111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</row>
    <row r="7" spans="2:43" ht="20.25">
      <c r="B7" s="110"/>
      <c r="C7" s="74"/>
      <c r="D7" s="74"/>
      <c r="E7" s="111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2:43" ht="20.25">
      <c r="B8" s="110"/>
      <c r="C8" s="73" t="s">
        <v>410</v>
      </c>
      <c r="D8" s="76" t="s">
        <v>409</v>
      </c>
      <c r="E8" s="111"/>
    </row>
    <row r="9" spans="2:43" ht="20.25">
      <c r="B9" s="110"/>
      <c r="C9" s="74"/>
      <c r="D9" s="9" t="str">
        <f>IF(D8="Niet-prioritair gebied",IF(ISERROR(U1),"","*Gemeente ligt in een Grensregio"),"")</f>
        <v/>
      </c>
      <c r="E9" s="111"/>
    </row>
    <row r="10" spans="2:43" ht="20.25">
      <c r="B10" s="110"/>
      <c r="C10" s="73" t="s">
        <v>411</v>
      </c>
      <c r="D10" s="77" t="s">
        <v>595</v>
      </c>
      <c r="E10" s="111"/>
    </row>
    <row r="11" spans="2:43" ht="16.5" customHeight="1">
      <c r="B11" s="110"/>
      <c r="C11" s="74"/>
      <c r="D11" s="74"/>
      <c r="E11" s="88"/>
    </row>
    <row r="12" spans="2:43" ht="45" customHeight="1">
      <c r="B12" s="110"/>
      <c r="C12" s="73" t="s">
        <v>411</v>
      </c>
      <c r="D12" s="77" t="str">
        <f>IF(D8="Grensregio",IFERROR(U1,"Gemeente ligt niet in grensregio"),"")</f>
        <v/>
      </c>
      <c r="E12" s="88"/>
    </row>
    <row r="13" spans="2:43" ht="20.25">
      <c r="B13" s="110"/>
      <c r="C13" s="74"/>
      <c r="D13" s="74"/>
      <c r="E13" s="88"/>
    </row>
    <row r="14" spans="2:43" ht="20.25">
      <c r="B14" s="80"/>
      <c r="C14" s="73" t="s">
        <v>443</v>
      </c>
      <c r="D14" s="13"/>
      <c r="E14" s="81"/>
    </row>
    <row r="15" spans="2:43" ht="12">
      <c r="B15" s="80"/>
      <c r="E15" s="81"/>
    </row>
    <row r="16" spans="2:43" ht="12">
      <c r="B16" s="80"/>
      <c r="E16" s="81"/>
    </row>
    <row r="17" spans="2:8" ht="100.5" customHeight="1">
      <c r="B17" s="110"/>
      <c r="C17" s="291" t="str">
        <f>CONCATENATE("Geen Stedelijke Focus-gebieden in gemeente!!! 
Selecteer ",IF(ISERROR(U1),"'niet-prioritair gebied'","'Grensregio'"))</f>
        <v>Geen Stedelijke Focus-gebieden in gemeente!!! 
Selecteer 'niet-prioritair gebied'</v>
      </c>
      <c r="D17" s="292"/>
      <c r="E17" s="88"/>
    </row>
    <row r="18" spans="2:8" ht="22.5" customHeight="1">
      <c r="B18" s="110"/>
      <c r="C18" s="74"/>
      <c r="D18" s="74"/>
      <c r="E18" s="88"/>
    </row>
    <row r="19" spans="2:8" ht="30" customHeight="1" thickBot="1">
      <c r="B19" s="112"/>
      <c r="C19" s="113"/>
      <c r="D19" s="113"/>
      <c r="E19" s="114"/>
    </row>
    <row r="21" spans="2:8" ht="30" customHeight="1">
      <c r="H21" s="253"/>
    </row>
  </sheetData>
  <sheetProtection algorithmName="SHA-512" hashValue="agT2sSErr1qtMAAj1cNgYpAaW+opjpJW0+zmzaJAOFZxM31D7+qM0wKlE5P3jdTjnk0L1+KHlb4OUBtvICfRmA==" saltValue="eUgeoIQr2rQLoBZfXGMtyQ==" spinCount="100000" sheet="1" sort="0" pivotTables="0"/>
  <protectedRanges>
    <protectedRange sqref="D10" name="Bereik5"/>
    <protectedRange sqref="D14" name="Bereik4"/>
    <protectedRange sqref="D8" name="Bereik2"/>
    <protectedRange sqref="D6" name="Bereik1"/>
  </protectedRanges>
  <mergeCells count="1">
    <mergeCell ref="C17:D17"/>
  </mergeCells>
  <conditionalFormatting sqref="A23:A24">
    <cfRule type="expression" dxfId="271" priority="4920">
      <formula>#REF!="Niet-prioritair gebied"</formula>
    </cfRule>
    <cfRule type="expression" dxfId="270" priority="4921">
      <formula>#REF!="Grensgebied"</formula>
    </cfRule>
    <cfRule type="expression" dxfId="269" priority="4922">
      <formula>$D$8="Stedelijk Focus-gebied"</formula>
    </cfRule>
  </conditionalFormatting>
  <conditionalFormatting sqref="C8">
    <cfRule type="expression" dxfId="268" priority="36">
      <formula>$D$6="[selecteer]"</formula>
    </cfRule>
  </conditionalFormatting>
  <conditionalFormatting sqref="C10:D10">
    <cfRule type="expression" dxfId="267" priority="9">
      <formula>$D$8="Grensregio"</formula>
    </cfRule>
    <cfRule type="expression" dxfId="266" priority="18">
      <formula>ISERROR($V$1)</formula>
    </cfRule>
    <cfRule type="expression" dxfId="265" priority="20">
      <formula>$D$6="[selecteer]"</formula>
    </cfRule>
    <cfRule type="expression" dxfId="264" priority="35">
      <formula>$D$8="Niet-prioritair gebied"</formula>
    </cfRule>
  </conditionalFormatting>
  <conditionalFormatting sqref="C10:D13">
    <cfRule type="expression" dxfId="263" priority="12">
      <formula>$D$8="[selecteer]"</formula>
    </cfRule>
  </conditionalFormatting>
  <conditionalFormatting sqref="C12:D12">
    <cfRule type="expression" dxfId="262" priority="5">
      <formula>$D$8="Stedelijk Focus-gebied"</formula>
    </cfRule>
    <cfRule type="expression" dxfId="261" priority="11">
      <formula>$D$6="[selecteer]"</formula>
    </cfRule>
    <cfRule type="expression" dxfId="260" priority="13">
      <formula>$D$8="Niet-prioritair gebied"</formula>
    </cfRule>
    <cfRule type="expression" dxfId="259" priority="14">
      <formula>ISERROR($S$1)</formula>
    </cfRule>
  </conditionalFormatting>
  <conditionalFormatting sqref="C14:D14">
    <cfRule type="expression" dxfId="258" priority="1">
      <formula>$D$8="Grensregio"</formula>
    </cfRule>
    <cfRule type="expression" dxfId="257" priority="2">
      <formula>$D$8="[selecteer]"</formula>
    </cfRule>
    <cfRule type="expression" dxfId="256" priority="3">
      <formula>$D$8="Stedelijk Focus-gebied"</formula>
    </cfRule>
  </conditionalFormatting>
  <conditionalFormatting sqref="C17:D17">
    <cfRule type="expression" dxfId="255" priority="19">
      <formula>$D$6="[selecteer]"</formula>
    </cfRule>
    <cfRule type="expression" dxfId="254" priority="30">
      <formula>NOT($D$8="Stedelijk Focus-gebied")</formula>
    </cfRule>
    <cfRule type="expression" dxfId="253" priority="31">
      <formula>NOT(ISERROR($V$1))</formula>
    </cfRule>
  </conditionalFormatting>
  <conditionalFormatting sqref="D6">
    <cfRule type="expression" dxfId="252" priority="17">
      <formula>$D$6="[selecteer]"</formula>
    </cfRule>
    <cfRule type="notContainsBlanks" dxfId="251" priority="42">
      <formula>LEN(TRIM(D6))&gt;0</formula>
    </cfRule>
  </conditionalFormatting>
  <conditionalFormatting sqref="D8">
    <cfRule type="expression" dxfId="250" priority="43">
      <formula>$D$6="[selecteer]"</formula>
    </cfRule>
    <cfRule type="expression" dxfId="249" priority="45">
      <formula>$D$8="[selecteer]"</formula>
    </cfRule>
    <cfRule type="notContainsBlanks" dxfId="248" priority="4613">
      <formula>LEN(TRIM(D8))&gt;0</formula>
    </cfRule>
  </conditionalFormatting>
  <conditionalFormatting sqref="D10">
    <cfRule type="expression" dxfId="247" priority="39">
      <formula>$D$10="[selecteer]"</formula>
    </cfRule>
    <cfRule type="notContainsBlanks" dxfId="246" priority="4615">
      <formula>LEN(TRIM(D10))&gt;0</formula>
    </cfRule>
  </conditionalFormatting>
  <conditionalFormatting sqref="D12">
    <cfRule type="expression" dxfId="245" priority="4">
      <formula>$D$12="Gemeente ligt niet in grensregio"</formula>
    </cfRule>
    <cfRule type="notContainsBlanks" dxfId="244" priority="16">
      <formula>LEN(TRIM(D12))&gt;0</formula>
    </cfRule>
  </conditionalFormatting>
  <conditionalFormatting sqref="D14">
    <cfRule type="notContainsBlanks" dxfId="243" priority="4614">
      <formula>LEN(TRIM(D14))&gt;0</formula>
    </cfRule>
  </conditionalFormatting>
  <dataValidations count="1">
    <dataValidation type="list" allowBlank="1" showInputMessage="1" showErrorMessage="1" sqref="D8" xr:uid="{7D4C8FBC-8FE7-43D8-89FB-AE321EFD7A45}">
      <formula1>$X$1:$X$4</formula1>
    </dataValidation>
  </dataValidations>
  <pageMargins left="0.7" right="0.7" top="0.75" bottom="0.75" header="0.3" footer="0.3"/>
  <pageSetup paperSize="9" orientation="portrait" r:id="rId1"/>
  <headerFooter>
    <oddFooter>&amp;L_x000D_&amp;1#&amp;"Calibri"&amp;10&amp;K000000 Intern gebruik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0DC792F-C292-44AC-A927-9D25ED4A4155}">
          <x14:formula1>
            <xm:f>'Lijst van gemeenten'!$A$2:$A$347</xm:f>
          </x14:formula1>
          <xm:sqref>D6</xm:sqref>
        </x14:dataValidation>
        <x14:dataValidation type="list" allowBlank="1" showInputMessage="1" showErrorMessage="1" xr:uid="{ED57C113-AA0E-4F13-B5DD-C6F746775076}">
          <x14:formula1>
            <xm:f>'Type gebied'!$B$2:$B$22</xm:f>
          </x14:formula1>
          <xm:sqref>D10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9E1D9-A335-4316-8365-B0CB5B5DC307}">
  <sheetPr codeName="Blad21">
    <tabColor rgb="FFFFC000"/>
  </sheetPr>
  <dimension ref="A1:B344"/>
  <sheetViews>
    <sheetView workbookViewId="0">
      <selection activeCell="F39" sqref="F39"/>
    </sheetView>
  </sheetViews>
  <sheetFormatPr defaultRowHeight="12"/>
  <cols>
    <col min="1" max="1" width="28.5703125" bestFit="1" customWidth="1"/>
  </cols>
  <sheetData>
    <row r="1" spans="1:2">
      <c r="A1" s="2" t="s">
        <v>3</v>
      </c>
      <c r="B1" s="243" t="s">
        <v>630</v>
      </c>
    </row>
    <row r="2" spans="1:2">
      <c r="A2" t="s">
        <v>409</v>
      </c>
    </row>
    <row r="3" spans="1:2">
      <c r="A3" t="s">
        <v>5</v>
      </c>
    </row>
    <row r="4" spans="1:2">
      <c r="A4" t="s">
        <v>6</v>
      </c>
    </row>
    <row r="5" spans="1:2">
      <c r="A5" t="s">
        <v>7</v>
      </c>
    </row>
    <row r="6" spans="1:2">
      <c r="A6" t="s">
        <v>8</v>
      </c>
    </row>
    <row r="7" spans="1:2">
      <c r="A7" t="s">
        <v>9</v>
      </c>
    </row>
    <row r="8" spans="1:2">
      <c r="A8" t="s">
        <v>10</v>
      </c>
    </row>
    <row r="9" spans="1:2">
      <c r="A9" t="s">
        <v>11</v>
      </c>
    </row>
    <row r="10" spans="1:2">
      <c r="A10" t="s">
        <v>12</v>
      </c>
    </row>
    <row r="11" spans="1:2">
      <c r="A11" t="s">
        <v>13</v>
      </c>
    </row>
    <row r="12" spans="1:2">
      <c r="A12" t="s">
        <v>14</v>
      </c>
    </row>
    <row r="13" spans="1:2">
      <c r="A13" t="s">
        <v>15</v>
      </c>
    </row>
    <row r="14" spans="1:2">
      <c r="A14" t="s">
        <v>16</v>
      </c>
    </row>
    <row r="15" spans="1:2">
      <c r="A15" t="s">
        <v>17</v>
      </c>
    </row>
    <row r="16" spans="1:2">
      <c r="A16" t="s">
        <v>18</v>
      </c>
    </row>
    <row r="17" spans="1:1">
      <c r="A17" t="s">
        <v>19</v>
      </c>
    </row>
    <row r="18" spans="1:1">
      <c r="A18" t="s">
        <v>20</v>
      </c>
    </row>
    <row r="19" spans="1:1">
      <c r="A19" t="s">
        <v>21</v>
      </c>
    </row>
    <row r="20" spans="1:1">
      <c r="A20" t="s">
        <v>22</v>
      </c>
    </row>
    <row r="21" spans="1:1">
      <c r="A21" t="s">
        <v>23</v>
      </c>
    </row>
    <row r="22" spans="1:1">
      <c r="A22" t="s">
        <v>24</v>
      </c>
    </row>
    <row r="23" spans="1:1">
      <c r="A23" t="s">
        <v>25</v>
      </c>
    </row>
    <row r="24" spans="1:1">
      <c r="A24" t="s">
        <v>26</v>
      </c>
    </row>
    <row r="25" spans="1:1">
      <c r="A25" t="s">
        <v>27</v>
      </c>
    </row>
    <row r="26" spans="1:1">
      <c r="A26" t="s">
        <v>28</v>
      </c>
    </row>
    <row r="27" spans="1:1">
      <c r="A27" t="s">
        <v>29</v>
      </c>
    </row>
    <row r="28" spans="1:1">
      <c r="A28" t="s">
        <v>30</v>
      </c>
    </row>
    <row r="29" spans="1:1">
      <c r="A29" t="s">
        <v>31</v>
      </c>
    </row>
    <row r="30" spans="1:1">
      <c r="A30" t="s">
        <v>32</v>
      </c>
    </row>
    <row r="31" spans="1:1">
      <c r="A31" t="s">
        <v>33</v>
      </c>
    </row>
    <row r="32" spans="1:1">
      <c r="A32" t="s">
        <v>34</v>
      </c>
    </row>
    <row r="33" spans="1:1">
      <c r="A33" t="s">
        <v>35</v>
      </c>
    </row>
    <row r="34" spans="1:1">
      <c r="A34" t="s">
        <v>36</v>
      </c>
    </row>
    <row r="35" spans="1:1">
      <c r="A35" t="s">
        <v>37</v>
      </c>
    </row>
    <row r="36" spans="1:1">
      <c r="A36" t="s">
        <v>38</v>
      </c>
    </row>
    <row r="37" spans="1:1">
      <c r="A37" t="s">
        <v>39</v>
      </c>
    </row>
    <row r="38" spans="1:1">
      <c r="A38" t="s">
        <v>40</v>
      </c>
    </row>
    <row r="39" spans="1:1">
      <c r="A39" t="s">
        <v>41</v>
      </c>
    </row>
    <row r="40" spans="1:1">
      <c r="A40" t="s">
        <v>42</v>
      </c>
    </row>
    <row r="41" spans="1:1">
      <c r="A41" t="s">
        <v>43</v>
      </c>
    </row>
    <row r="42" spans="1:1">
      <c r="A42" t="s">
        <v>44</v>
      </c>
    </row>
    <row r="43" spans="1:1">
      <c r="A43" t="s">
        <v>45</v>
      </c>
    </row>
    <row r="44" spans="1:1">
      <c r="A44" t="s">
        <v>46</v>
      </c>
    </row>
    <row r="45" spans="1:1">
      <c r="A45" t="s">
        <v>47</v>
      </c>
    </row>
    <row r="46" spans="1:1">
      <c r="A46" t="s">
        <v>48</v>
      </c>
    </row>
    <row r="47" spans="1:1">
      <c r="A47" t="s">
        <v>49</v>
      </c>
    </row>
    <row r="48" spans="1:1">
      <c r="A48" t="s">
        <v>50</v>
      </c>
    </row>
    <row r="49" spans="1:1">
      <c r="A49" t="s">
        <v>51</v>
      </c>
    </row>
    <row r="50" spans="1:1">
      <c r="A50" t="s">
        <v>52</v>
      </c>
    </row>
    <row r="51" spans="1:1">
      <c r="A51" t="s">
        <v>53</v>
      </c>
    </row>
    <row r="52" spans="1:1">
      <c r="A52" t="s">
        <v>54</v>
      </c>
    </row>
    <row r="53" spans="1:1">
      <c r="A53" t="s">
        <v>55</v>
      </c>
    </row>
    <row r="54" spans="1:1">
      <c r="A54" t="s">
        <v>56</v>
      </c>
    </row>
    <row r="55" spans="1:1">
      <c r="A55" t="s">
        <v>57</v>
      </c>
    </row>
    <row r="56" spans="1:1">
      <c r="A56" t="s">
        <v>58</v>
      </c>
    </row>
    <row r="57" spans="1:1">
      <c r="A57" t="s">
        <v>59</v>
      </c>
    </row>
    <row r="58" spans="1:1">
      <c r="A58" t="s">
        <v>60</v>
      </c>
    </row>
    <row r="59" spans="1:1">
      <c r="A59" t="s">
        <v>61</v>
      </c>
    </row>
    <row r="60" spans="1:1">
      <c r="A60" t="s">
        <v>62</v>
      </c>
    </row>
    <row r="61" spans="1:1">
      <c r="A61" t="s">
        <v>63</v>
      </c>
    </row>
    <row r="62" spans="1:1">
      <c r="A62" t="s">
        <v>64</v>
      </c>
    </row>
    <row r="63" spans="1:1">
      <c r="A63" t="s">
        <v>65</v>
      </c>
    </row>
    <row r="64" spans="1:1">
      <c r="A64" t="s">
        <v>66</v>
      </c>
    </row>
    <row r="65" spans="1:1">
      <c r="A65" t="s">
        <v>67</v>
      </c>
    </row>
    <row r="66" spans="1:1">
      <c r="A66" t="s">
        <v>68</v>
      </c>
    </row>
    <row r="67" spans="1:1">
      <c r="A67" t="s">
        <v>69</v>
      </c>
    </row>
    <row r="68" spans="1:1">
      <c r="A68" t="s">
        <v>70</v>
      </c>
    </row>
    <row r="69" spans="1:1">
      <c r="A69" t="s">
        <v>71</v>
      </c>
    </row>
    <row r="70" spans="1:1">
      <c r="A70" t="s">
        <v>72</v>
      </c>
    </row>
    <row r="71" spans="1:1">
      <c r="A71" t="s">
        <v>73</v>
      </c>
    </row>
    <row r="72" spans="1:1">
      <c r="A72" t="s">
        <v>74</v>
      </c>
    </row>
    <row r="73" spans="1:1">
      <c r="A73" t="s">
        <v>75</v>
      </c>
    </row>
    <row r="74" spans="1:1">
      <c r="A74" t="s">
        <v>76</v>
      </c>
    </row>
    <row r="75" spans="1:1">
      <c r="A75" t="s">
        <v>77</v>
      </c>
    </row>
    <row r="76" spans="1:1">
      <c r="A76" t="s">
        <v>78</v>
      </c>
    </row>
    <row r="77" spans="1:1">
      <c r="A77" t="s">
        <v>79</v>
      </c>
    </row>
    <row r="78" spans="1:1">
      <c r="A78" t="s">
        <v>80</v>
      </c>
    </row>
    <row r="79" spans="1:1">
      <c r="A79" t="s">
        <v>81</v>
      </c>
    </row>
    <row r="80" spans="1:1">
      <c r="A80" t="s">
        <v>82</v>
      </c>
    </row>
    <row r="81" spans="1:1">
      <c r="A81" t="s">
        <v>83</v>
      </c>
    </row>
    <row r="82" spans="1:1">
      <c r="A82" t="s">
        <v>84</v>
      </c>
    </row>
    <row r="83" spans="1:1">
      <c r="A83" t="s">
        <v>85</v>
      </c>
    </row>
    <row r="84" spans="1:1">
      <c r="A84" t="s">
        <v>86</v>
      </c>
    </row>
    <row r="85" spans="1:1">
      <c r="A85" t="s">
        <v>87</v>
      </c>
    </row>
    <row r="86" spans="1:1">
      <c r="A86" t="s">
        <v>88</v>
      </c>
    </row>
    <row r="87" spans="1:1">
      <c r="A87" t="s">
        <v>89</v>
      </c>
    </row>
    <row r="88" spans="1:1">
      <c r="A88" t="s">
        <v>90</v>
      </c>
    </row>
    <row r="89" spans="1:1">
      <c r="A89" t="s">
        <v>91</v>
      </c>
    </row>
    <row r="90" spans="1:1">
      <c r="A90" t="s">
        <v>92</v>
      </c>
    </row>
    <row r="91" spans="1:1">
      <c r="A91" t="s">
        <v>93</v>
      </c>
    </row>
    <row r="92" spans="1:1">
      <c r="A92" t="s">
        <v>94</v>
      </c>
    </row>
    <row r="93" spans="1:1">
      <c r="A93" t="s">
        <v>95</v>
      </c>
    </row>
    <row r="94" spans="1:1">
      <c r="A94" t="s">
        <v>96</v>
      </c>
    </row>
    <row r="95" spans="1:1">
      <c r="A95" t="s">
        <v>97</v>
      </c>
    </row>
    <row r="96" spans="1:1">
      <c r="A96" t="s">
        <v>98</v>
      </c>
    </row>
    <row r="97" spans="1:1">
      <c r="A97" t="s">
        <v>99</v>
      </c>
    </row>
    <row r="98" spans="1:1">
      <c r="A98" t="s">
        <v>100</v>
      </c>
    </row>
    <row r="99" spans="1:1">
      <c r="A99" t="s">
        <v>101</v>
      </c>
    </row>
    <row r="100" spans="1:1">
      <c r="A100" t="s">
        <v>102</v>
      </c>
    </row>
    <row r="101" spans="1:1">
      <c r="A101" t="s">
        <v>103</v>
      </c>
    </row>
    <row r="102" spans="1:1">
      <c r="A102" t="s">
        <v>104</v>
      </c>
    </row>
    <row r="103" spans="1:1">
      <c r="A103" t="s">
        <v>105</v>
      </c>
    </row>
    <row r="104" spans="1:1">
      <c r="A104" t="s">
        <v>106</v>
      </c>
    </row>
    <row r="105" spans="1:1">
      <c r="A105" t="s">
        <v>107</v>
      </c>
    </row>
    <row r="106" spans="1:1">
      <c r="A106" t="s">
        <v>604</v>
      </c>
    </row>
    <row r="107" spans="1:1">
      <c r="A107" t="s">
        <v>605</v>
      </c>
    </row>
    <row r="108" spans="1:1">
      <c r="A108" t="s">
        <v>108</v>
      </c>
    </row>
    <row r="109" spans="1:1">
      <c r="A109" t="s">
        <v>109</v>
      </c>
    </row>
    <row r="110" spans="1:1">
      <c r="A110" t="s">
        <v>110</v>
      </c>
    </row>
    <row r="111" spans="1:1">
      <c r="A111" t="s">
        <v>111</v>
      </c>
    </row>
    <row r="112" spans="1:1">
      <c r="A112" t="s">
        <v>112</v>
      </c>
    </row>
    <row r="113" spans="1:1">
      <c r="A113" t="s">
        <v>113</v>
      </c>
    </row>
    <row r="114" spans="1:1">
      <c r="A114" t="s">
        <v>114</v>
      </c>
    </row>
    <row r="115" spans="1:1">
      <c r="A115" t="s">
        <v>115</v>
      </c>
    </row>
    <row r="116" spans="1:1">
      <c r="A116" t="s">
        <v>116</v>
      </c>
    </row>
    <row r="117" spans="1:1">
      <c r="A117" t="s">
        <v>117</v>
      </c>
    </row>
    <row r="118" spans="1:1">
      <c r="A118" t="s">
        <v>118</v>
      </c>
    </row>
    <row r="119" spans="1:1">
      <c r="A119" t="s">
        <v>119</v>
      </c>
    </row>
    <row r="120" spans="1:1">
      <c r="A120" t="s">
        <v>120</v>
      </c>
    </row>
    <row r="121" spans="1:1">
      <c r="A121" t="s">
        <v>121</v>
      </c>
    </row>
    <row r="122" spans="1:1">
      <c r="A122" t="s">
        <v>122</v>
      </c>
    </row>
    <row r="123" spans="1:1">
      <c r="A123" t="s">
        <v>123</v>
      </c>
    </row>
    <row r="124" spans="1:1">
      <c r="A124" t="s">
        <v>124</v>
      </c>
    </row>
    <row r="125" spans="1:1">
      <c r="A125" t="s">
        <v>125</v>
      </c>
    </row>
    <row r="126" spans="1:1">
      <c r="A126" t="s">
        <v>126</v>
      </c>
    </row>
    <row r="127" spans="1:1">
      <c r="A127" t="s">
        <v>127</v>
      </c>
    </row>
    <row r="128" spans="1:1">
      <c r="A128" t="s">
        <v>128</v>
      </c>
    </row>
    <row r="129" spans="1:1">
      <c r="A129" t="s">
        <v>129</v>
      </c>
    </row>
    <row r="130" spans="1:1">
      <c r="A130" t="s">
        <v>130</v>
      </c>
    </row>
    <row r="131" spans="1:1">
      <c r="A131" t="s">
        <v>131</v>
      </c>
    </row>
    <row r="132" spans="1:1">
      <c r="A132" t="s">
        <v>132</v>
      </c>
    </row>
    <row r="133" spans="1:1">
      <c r="A133" t="s">
        <v>133</v>
      </c>
    </row>
    <row r="134" spans="1:1">
      <c r="A134" t="s">
        <v>134</v>
      </c>
    </row>
    <row r="135" spans="1:1">
      <c r="A135" t="s">
        <v>135</v>
      </c>
    </row>
    <row r="136" spans="1:1">
      <c r="A136" t="s">
        <v>136</v>
      </c>
    </row>
    <row r="137" spans="1:1">
      <c r="A137" t="s">
        <v>137</v>
      </c>
    </row>
    <row r="138" spans="1:1">
      <c r="A138" t="s">
        <v>138</v>
      </c>
    </row>
    <row r="139" spans="1:1">
      <c r="A139" t="s">
        <v>139</v>
      </c>
    </row>
    <row r="140" spans="1:1">
      <c r="A140" t="s">
        <v>140</v>
      </c>
    </row>
    <row r="141" spans="1:1">
      <c r="A141" t="s">
        <v>141</v>
      </c>
    </row>
    <row r="142" spans="1:1">
      <c r="A142" t="s">
        <v>142</v>
      </c>
    </row>
    <row r="143" spans="1:1">
      <c r="A143" t="s">
        <v>143</v>
      </c>
    </row>
    <row r="144" spans="1:1">
      <c r="A144" t="s">
        <v>144</v>
      </c>
    </row>
    <row r="145" spans="1:1">
      <c r="A145" t="s">
        <v>145</v>
      </c>
    </row>
    <row r="146" spans="1:1">
      <c r="A146" t="s">
        <v>146</v>
      </c>
    </row>
    <row r="147" spans="1:1">
      <c r="A147" t="s">
        <v>147</v>
      </c>
    </row>
    <row r="148" spans="1:1">
      <c r="A148" t="s">
        <v>148</v>
      </c>
    </row>
    <row r="149" spans="1:1">
      <c r="A149" t="s">
        <v>149</v>
      </c>
    </row>
    <row r="150" spans="1:1">
      <c r="A150" t="s">
        <v>150</v>
      </c>
    </row>
    <row r="151" spans="1:1">
      <c r="A151" t="s">
        <v>151</v>
      </c>
    </row>
    <row r="152" spans="1:1">
      <c r="A152" t="s">
        <v>152</v>
      </c>
    </row>
    <row r="153" spans="1:1">
      <c r="A153" t="s">
        <v>153</v>
      </c>
    </row>
    <row r="154" spans="1:1">
      <c r="A154" t="s">
        <v>154</v>
      </c>
    </row>
    <row r="155" spans="1:1">
      <c r="A155" t="s">
        <v>155</v>
      </c>
    </row>
    <row r="156" spans="1:1">
      <c r="A156" t="s">
        <v>156</v>
      </c>
    </row>
    <row r="157" spans="1:1">
      <c r="A157" t="s">
        <v>157</v>
      </c>
    </row>
    <row r="158" spans="1:1">
      <c r="A158" t="s">
        <v>158</v>
      </c>
    </row>
    <row r="159" spans="1:1">
      <c r="A159" t="s">
        <v>159</v>
      </c>
    </row>
    <row r="160" spans="1:1">
      <c r="A160" t="s">
        <v>160</v>
      </c>
    </row>
    <row r="161" spans="1:1">
      <c r="A161" t="s">
        <v>161</v>
      </c>
    </row>
    <row r="162" spans="1:1">
      <c r="A162" t="s">
        <v>162</v>
      </c>
    </row>
    <row r="163" spans="1:1">
      <c r="A163" t="s">
        <v>163</v>
      </c>
    </row>
    <row r="164" spans="1:1">
      <c r="A164" t="s">
        <v>164</v>
      </c>
    </row>
    <row r="165" spans="1:1">
      <c r="A165" t="s">
        <v>165</v>
      </c>
    </row>
    <row r="166" spans="1:1">
      <c r="A166" t="s">
        <v>166</v>
      </c>
    </row>
    <row r="167" spans="1:1">
      <c r="A167" t="s">
        <v>167</v>
      </c>
    </row>
    <row r="168" spans="1:1">
      <c r="A168" t="s">
        <v>168</v>
      </c>
    </row>
    <row r="169" spans="1:1">
      <c r="A169" t="s">
        <v>169</v>
      </c>
    </row>
    <row r="170" spans="1:1">
      <c r="A170" t="s">
        <v>170</v>
      </c>
    </row>
    <row r="171" spans="1:1">
      <c r="A171" t="s">
        <v>171</v>
      </c>
    </row>
    <row r="172" spans="1:1">
      <c r="A172" t="s">
        <v>172</v>
      </c>
    </row>
    <row r="173" spans="1:1">
      <c r="A173" t="s">
        <v>173</v>
      </c>
    </row>
    <row r="174" spans="1:1">
      <c r="A174" t="s">
        <v>174</v>
      </c>
    </row>
    <row r="175" spans="1:1">
      <c r="A175" t="s">
        <v>175</v>
      </c>
    </row>
    <row r="176" spans="1:1">
      <c r="A176" t="s">
        <v>176</v>
      </c>
    </row>
    <row r="177" spans="1:1">
      <c r="A177" t="s">
        <v>177</v>
      </c>
    </row>
    <row r="178" spans="1:1">
      <c r="A178" t="s">
        <v>178</v>
      </c>
    </row>
    <row r="179" spans="1:1">
      <c r="A179" t="s">
        <v>179</v>
      </c>
    </row>
    <row r="180" spans="1:1">
      <c r="A180" t="s">
        <v>180</v>
      </c>
    </row>
    <row r="181" spans="1:1">
      <c r="A181" t="s">
        <v>181</v>
      </c>
    </row>
    <row r="182" spans="1:1">
      <c r="A182" t="s">
        <v>182</v>
      </c>
    </row>
    <row r="183" spans="1:1">
      <c r="A183" t="s">
        <v>183</v>
      </c>
    </row>
    <row r="184" spans="1:1">
      <c r="A184" t="s">
        <v>184</v>
      </c>
    </row>
    <row r="185" spans="1:1">
      <c r="A185" t="s">
        <v>185</v>
      </c>
    </row>
    <row r="186" spans="1:1">
      <c r="A186" t="s">
        <v>186</v>
      </c>
    </row>
    <row r="187" spans="1:1">
      <c r="A187" t="s">
        <v>187</v>
      </c>
    </row>
    <row r="188" spans="1:1">
      <c r="A188" t="s">
        <v>188</v>
      </c>
    </row>
    <row r="189" spans="1:1">
      <c r="A189" t="s">
        <v>189</v>
      </c>
    </row>
    <row r="190" spans="1:1">
      <c r="A190" t="s">
        <v>190</v>
      </c>
    </row>
    <row r="191" spans="1:1">
      <c r="A191" t="s">
        <v>191</v>
      </c>
    </row>
    <row r="192" spans="1:1">
      <c r="A192" t="s">
        <v>192</v>
      </c>
    </row>
    <row r="193" spans="1:1">
      <c r="A193" t="s">
        <v>193</v>
      </c>
    </row>
    <row r="194" spans="1:1">
      <c r="A194" t="s">
        <v>194</v>
      </c>
    </row>
    <row r="195" spans="1:1">
      <c r="A195" t="s">
        <v>195</v>
      </c>
    </row>
    <row r="196" spans="1:1">
      <c r="A196" t="s">
        <v>196</v>
      </c>
    </row>
    <row r="197" spans="1:1">
      <c r="A197" t="s">
        <v>197</v>
      </c>
    </row>
    <row r="198" spans="1:1">
      <c r="A198" t="s">
        <v>198</v>
      </c>
    </row>
    <row r="199" spans="1:1">
      <c r="A199" t="s">
        <v>199</v>
      </c>
    </row>
    <row r="200" spans="1:1">
      <c r="A200" t="s">
        <v>200</v>
      </c>
    </row>
    <row r="201" spans="1:1">
      <c r="A201" t="s">
        <v>201</v>
      </c>
    </row>
    <row r="202" spans="1:1">
      <c r="A202" t="s">
        <v>202</v>
      </c>
    </row>
    <row r="203" spans="1:1">
      <c r="A203" t="s">
        <v>203</v>
      </c>
    </row>
    <row r="204" spans="1:1">
      <c r="A204" t="s">
        <v>204</v>
      </c>
    </row>
    <row r="205" spans="1:1">
      <c r="A205" t="s">
        <v>205</v>
      </c>
    </row>
    <row r="206" spans="1:1">
      <c r="A206" t="s">
        <v>206</v>
      </c>
    </row>
    <row r="207" spans="1:1">
      <c r="A207" t="s">
        <v>207</v>
      </c>
    </row>
    <row r="208" spans="1:1">
      <c r="A208" t="s">
        <v>208</v>
      </c>
    </row>
    <row r="209" spans="1:1">
      <c r="A209" t="s">
        <v>209</v>
      </c>
    </row>
    <row r="210" spans="1:1">
      <c r="A210" t="s">
        <v>210</v>
      </c>
    </row>
    <row r="211" spans="1:1">
      <c r="A211" t="s">
        <v>211</v>
      </c>
    </row>
    <row r="212" spans="1:1">
      <c r="A212" t="s">
        <v>212</v>
      </c>
    </row>
    <row r="213" spans="1:1">
      <c r="A213" t="s">
        <v>213</v>
      </c>
    </row>
    <row r="214" spans="1:1">
      <c r="A214" t="s">
        <v>214</v>
      </c>
    </row>
    <row r="215" spans="1:1">
      <c r="A215" t="s">
        <v>215</v>
      </c>
    </row>
    <row r="216" spans="1:1">
      <c r="A216" t="s">
        <v>216</v>
      </c>
    </row>
    <row r="217" spans="1:1">
      <c r="A217" t="s">
        <v>217</v>
      </c>
    </row>
    <row r="218" spans="1:1">
      <c r="A218" t="s">
        <v>218</v>
      </c>
    </row>
    <row r="219" spans="1:1">
      <c r="A219" t="s">
        <v>219</v>
      </c>
    </row>
    <row r="220" spans="1:1">
      <c r="A220" t="s">
        <v>220</v>
      </c>
    </row>
    <row r="221" spans="1:1">
      <c r="A221" t="s">
        <v>221</v>
      </c>
    </row>
    <row r="222" spans="1:1">
      <c r="A222" t="s">
        <v>222</v>
      </c>
    </row>
    <row r="223" spans="1:1">
      <c r="A223" t="s">
        <v>223</v>
      </c>
    </row>
    <row r="224" spans="1:1">
      <c r="A224" t="s">
        <v>224</v>
      </c>
    </row>
    <row r="225" spans="1:1">
      <c r="A225" t="s">
        <v>225</v>
      </c>
    </row>
    <row r="226" spans="1:1">
      <c r="A226" t="s">
        <v>226</v>
      </c>
    </row>
    <row r="227" spans="1:1">
      <c r="A227" t="s">
        <v>227</v>
      </c>
    </row>
    <row r="228" spans="1:1">
      <c r="A228" t="s">
        <v>228</v>
      </c>
    </row>
    <row r="229" spans="1:1">
      <c r="A229" t="s">
        <v>229</v>
      </c>
    </row>
    <row r="230" spans="1:1">
      <c r="A230" t="s">
        <v>230</v>
      </c>
    </row>
    <row r="231" spans="1:1">
      <c r="A231" t="s">
        <v>231</v>
      </c>
    </row>
    <row r="232" spans="1:1">
      <c r="A232" t="s">
        <v>232</v>
      </c>
    </row>
    <row r="233" spans="1:1">
      <c r="A233" t="s">
        <v>233</v>
      </c>
    </row>
    <row r="234" spans="1:1">
      <c r="A234" t="s">
        <v>234</v>
      </c>
    </row>
    <row r="235" spans="1:1">
      <c r="A235" t="s">
        <v>235</v>
      </c>
    </row>
    <row r="236" spans="1:1">
      <c r="A236" t="s">
        <v>236</v>
      </c>
    </row>
    <row r="237" spans="1:1">
      <c r="A237" t="s">
        <v>237</v>
      </c>
    </row>
    <row r="238" spans="1:1">
      <c r="A238" t="s">
        <v>238</v>
      </c>
    </row>
    <row r="239" spans="1:1">
      <c r="A239" t="s">
        <v>239</v>
      </c>
    </row>
    <row r="240" spans="1:1">
      <c r="A240" t="s">
        <v>240</v>
      </c>
    </row>
    <row r="241" spans="1:1">
      <c r="A241" t="s">
        <v>241</v>
      </c>
    </row>
    <row r="242" spans="1:1">
      <c r="A242" t="s">
        <v>242</v>
      </c>
    </row>
    <row r="243" spans="1:1">
      <c r="A243" t="s">
        <v>243</v>
      </c>
    </row>
    <row r="244" spans="1:1">
      <c r="A244" t="s">
        <v>244</v>
      </c>
    </row>
    <row r="245" spans="1:1">
      <c r="A245" t="s">
        <v>245</v>
      </c>
    </row>
    <row r="246" spans="1:1">
      <c r="A246" t="s">
        <v>246</v>
      </c>
    </row>
    <row r="247" spans="1:1">
      <c r="A247" t="s">
        <v>247</v>
      </c>
    </row>
    <row r="248" spans="1:1">
      <c r="A248" t="s">
        <v>248</v>
      </c>
    </row>
    <row r="249" spans="1:1">
      <c r="A249" t="s">
        <v>249</v>
      </c>
    </row>
    <row r="250" spans="1:1">
      <c r="A250" t="s">
        <v>250</v>
      </c>
    </row>
    <row r="251" spans="1:1">
      <c r="A251" t="s">
        <v>251</v>
      </c>
    </row>
    <row r="252" spans="1:1">
      <c r="A252" t="s">
        <v>252</v>
      </c>
    </row>
    <row r="253" spans="1:1">
      <c r="A253" t="s">
        <v>253</v>
      </c>
    </row>
    <row r="254" spans="1:1">
      <c r="A254" t="s">
        <v>254</v>
      </c>
    </row>
    <row r="255" spans="1:1">
      <c r="A255" t="s">
        <v>255</v>
      </c>
    </row>
    <row r="256" spans="1:1">
      <c r="A256" t="s">
        <v>256</v>
      </c>
    </row>
    <row r="257" spans="1:1">
      <c r="A257" t="s">
        <v>257</v>
      </c>
    </row>
    <row r="258" spans="1:1">
      <c r="A258" t="s">
        <v>258</v>
      </c>
    </row>
    <row r="259" spans="1:1">
      <c r="A259" t="s">
        <v>259</v>
      </c>
    </row>
    <row r="260" spans="1:1">
      <c r="A260" t="s">
        <v>260</v>
      </c>
    </row>
    <row r="261" spans="1:1">
      <c r="A261" t="s">
        <v>261</v>
      </c>
    </row>
    <row r="262" spans="1:1">
      <c r="A262" t="s">
        <v>262</v>
      </c>
    </row>
    <row r="263" spans="1:1">
      <c r="A263" t="s">
        <v>263</v>
      </c>
    </row>
    <row r="264" spans="1:1">
      <c r="A264" t="s">
        <v>264</v>
      </c>
    </row>
    <row r="265" spans="1:1">
      <c r="A265" t="s">
        <v>265</v>
      </c>
    </row>
    <row r="266" spans="1:1">
      <c r="A266" t="s">
        <v>266</v>
      </c>
    </row>
    <row r="267" spans="1:1">
      <c r="A267" t="s">
        <v>267</v>
      </c>
    </row>
    <row r="268" spans="1:1">
      <c r="A268" t="s">
        <v>268</v>
      </c>
    </row>
    <row r="269" spans="1:1">
      <c r="A269" t="s">
        <v>269</v>
      </c>
    </row>
    <row r="270" spans="1:1">
      <c r="A270" t="s">
        <v>270</v>
      </c>
    </row>
    <row r="271" spans="1:1">
      <c r="A271" t="s">
        <v>271</v>
      </c>
    </row>
    <row r="272" spans="1:1">
      <c r="A272" t="s">
        <v>272</v>
      </c>
    </row>
    <row r="273" spans="1:1">
      <c r="A273" t="s">
        <v>273</v>
      </c>
    </row>
    <row r="274" spans="1:1">
      <c r="A274" t="s">
        <v>274</v>
      </c>
    </row>
    <row r="275" spans="1:1">
      <c r="A275" t="s">
        <v>275</v>
      </c>
    </row>
    <row r="276" spans="1:1">
      <c r="A276" t="s">
        <v>276</v>
      </c>
    </row>
    <row r="277" spans="1:1">
      <c r="A277" t="s">
        <v>277</v>
      </c>
    </row>
    <row r="278" spans="1:1">
      <c r="A278" t="s">
        <v>278</v>
      </c>
    </row>
    <row r="279" spans="1:1">
      <c r="A279" t="s">
        <v>279</v>
      </c>
    </row>
    <row r="280" spans="1:1">
      <c r="A280" t="s">
        <v>280</v>
      </c>
    </row>
    <row r="281" spans="1:1">
      <c r="A281" t="s">
        <v>281</v>
      </c>
    </row>
    <row r="282" spans="1:1">
      <c r="A282" t="s">
        <v>282</v>
      </c>
    </row>
    <row r="283" spans="1:1">
      <c r="A283" t="s">
        <v>283</v>
      </c>
    </row>
    <row r="284" spans="1:1">
      <c r="A284" t="s">
        <v>606</v>
      </c>
    </row>
    <row r="285" spans="1:1">
      <c r="A285" t="s">
        <v>284</v>
      </c>
    </row>
    <row r="286" spans="1:1">
      <c r="A286" t="s">
        <v>285</v>
      </c>
    </row>
    <row r="287" spans="1:1">
      <c r="A287" t="s">
        <v>286</v>
      </c>
    </row>
    <row r="288" spans="1:1">
      <c r="A288" t="s">
        <v>287</v>
      </c>
    </row>
    <row r="289" spans="1:1">
      <c r="A289" t="s">
        <v>288</v>
      </c>
    </row>
    <row r="290" spans="1:1">
      <c r="A290" t="s">
        <v>289</v>
      </c>
    </row>
    <row r="291" spans="1:1">
      <c r="A291" t="s">
        <v>290</v>
      </c>
    </row>
    <row r="292" spans="1:1">
      <c r="A292" t="s">
        <v>291</v>
      </c>
    </row>
    <row r="293" spans="1:1">
      <c r="A293" t="s">
        <v>292</v>
      </c>
    </row>
    <row r="294" spans="1:1">
      <c r="A294" t="s">
        <v>293</v>
      </c>
    </row>
    <row r="295" spans="1:1">
      <c r="A295" t="s">
        <v>294</v>
      </c>
    </row>
    <row r="296" spans="1:1">
      <c r="A296" t="s">
        <v>295</v>
      </c>
    </row>
    <row r="297" spans="1:1">
      <c r="A297" t="s">
        <v>296</v>
      </c>
    </row>
    <row r="298" spans="1:1">
      <c r="A298" t="s">
        <v>297</v>
      </c>
    </row>
    <row r="299" spans="1:1">
      <c r="A299" t="s">
        <v>298</v>
      </c>
    </row>
    <row r="300" spans="1:1">
      <c r="A300" t="s">
        <v>299</v>
      </c>
    </row>
    <row r="301" spans="1:1">
      <c r="A301" t="s">
        <v>607</v>
      </c>
    </row>
    <row r="302" spans="1:1">
      <c r="A302" t="s">
        <v>300</v>
      </c>
    </row>
    <row r="303" spans="1:1">
      <c r="A303" t="s">
        <v>301</v>
      </c>
    </row>
    <row r="304" spans="1:1">
      <c r="A304" t="s">
        <v>302</v>
      </c>
    </row>
    <row r="305" spans="1:1">
      <c r="A305" t="s">
        <v>303</v>
      </c>
    </row>
    <row r="306" spans="1:1">
      <c r="A306" t="s">
        <v>304</v>
      </c>
    </row>
    <row r="307" spans="1:1">
      <c r="A307" t="s">
        <v>305</v>
      </c>
    </row>
    <row r="308" spans="1:1">
      <c r="A308" t="s">
        <v>306</v>
      </c>
    </row>
    <row r="309" spans="1:1">
      <c r="A309" t="s">
        <v>307</v>
      </c>
    </row>
    <row r="310" spans="1:1">
      <c r="A310" t="s">
        <v>308</v>
      </c>
    </row>
    <row r="311" spans="1:1">
      <c r="A311" t="s">
        <v>309</v>
      </c>
    </row>
    <row r="312" spans="1:1">
      <c r="A312" t="s">
        <v>310</v>
      </c>
    </row>
    <row r="313" spans="1:1">
      <c r="A313" t="s">
        <v>311</v>
      </c>
    </row>
    <row r="314" spans="1:1">
      <c r="A314" t="s">
        <v>312</v>
      </c>
    </row>
    <row r="315" spans="1:1">
      <c r="A315" t="s">
        <v>313</v>
      </c>
    </row>
    <row r="316" spans="1:1">
      <c r="A316" t="s">
        <v>314</v>
      </c>
    </row>
    <row r="317" spans="1:1">
      <c r="A317" t="s">
        <v>315</v>
      </c>
    </row>
    <row r="318" spans="1:1">
      <c r="A318" t="s">
        <v>316</v>
      </c>
    </row>
    <row r="319" spans="1:1">
      <c r="A319" t="s">
        <v>317</v>
      </c>
    </row>
    <row r="320" spans="1:1">
      <c r="A320" t="s">
        <v>318</v>
      </c>
    </row>
    <row r="321" spans="1:1">
      <c r="A321" t="s">
        <v>319</v>
      </c>
    </row>
    <row r="322" spans="1:1">
      <c r="A322" t="s">
        <v>320</v>
      </c>
    </row>
    <row r="323" spans="1:1">
      <c r="A323" t="s">
        <v>321</v>
      </c>
    </row>
    <row r="324" spans="1:1">
      <c r="A324" t="s">
        <v>322</v>
      </c>
    </row>
    <row r="325" spans="1:1">
      <c r="A325" t="s">
        <v>323</v>
      </c>
    </row>
    <row r="326" spans="1:1">
      <c r="A326" t="s">
        <v>324</v>
      </c>
    </row>
    <row r="327" spans="1:1">
      <c r="A327" t="s">
        <v>325</v>
      </c>
    </row>
    <row r="328" spans="1:1">
      <c r="A328" t="s">
        <v>326</v>
      </c>
    </row>
    <row r="329" spans="1:1">
      <c r="A329" t="s">
        <v>327</v>
      </c>
    </row>
    <row r="330" spans="1:1">
      <c r="A330" t="s">
        <v>328</v>
      </c>
    </row>
    <row r="331" spans="1:1">
      <c r="A331" t="s">
        <v>329</v>
      </c>
    </row>
    <row r="332" spans="1:1">
      <c r="A332" t="s">
        <v>330</v>
      </c>
    </row>
    <row r="333" spans="1:1">
      <c r="A333" t="s">
        <v>331</v>
      </c>
    </row>
    <row r="334" spans="1:1">
      <c r="A334" t="s">
        <v>332</v>
      </c>
    </row>
    <row r="335" spans="1:1">
      <c r="A335" t="s">
        <v>333</v>
      </c>
    </row>
    <row r="336" spans="1:1">
      <c r="A336" t="s">
        <v>334</v>
      </c>
    </row>
    <row r="337" spans="1:1">
      <c r="A337" t="s">
        <v>335</v>
      </c>
    </row>
    <row r="338" spans="1:1">
      <c r="A338" t="s">
        <v>336</v>
      </c>
    </row>
    <row r="339" spans="1:1">
      <c r="A339" t="s">
        <v>337</v>
      </c>
    </row>
    <row r="340" spans="1:1">
      <c r="A340" t="s">
        <v>338</v>
      </c>
    </row>
    <row r="341" spans="1:1">
      <c r="A341" t="s">
        <v>339</v>
      </c>
    </row>
    <row r="342" spans="1:1">
      <c r="A342" t="s">
        <v>340</v>
      </c>
    </row>
    <row r="343" spans="1:1">
      <c r="A343" t="s">
        <v>341</v>
      </c>
    </row>
    <row r="344" spans="1:1">
      <c r="A344" t="s">
        <v>342</v>
      </c>
    </row>
  </sheetData>
  <sheetProtection algorithmName="SHA-512" hashValue="nVHCh5ziZ+3OQ199Cx2txsJ7zoFwfmS+VqabQSFD2vdJ+wm6j/Agg9Azja9enmHXhUfeW+MI/wTuGIj3qnNRVA==" saltValue="ifi5YsIIbLWdEMRRZj1Jaw==" spinCount="100000" sheet="1" objects="1" scenarios="1"/>
  <pageMargins left="0.7" right="0.7" top="0.75" bottom="0.75" header="0.3" footer="0.3"/>
  <headerFooter>
    <oddFooter>&amp;L_x000D_&amp;1#&amp;"Calibri"&amp;10&amp;K000000 Intern gebruik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75C56-EE4B-4FE7-9EF3-0BD54A5AFA1D}">
  <sheetPr codeName="Blad3">
    <tabColor rgb="FF0745C1"/>
  </sheetPr>
  <dimension ref="A3:X182"/>
  <sheetViews>
    <sheetView zoomScale="50" zoomScaleNormal="50" workbookViewId="0">
      <selection activeCell="D92" sqref="D92"/>
    </sheetView>
  </sheetViews>
  <sheetFormatPr defaultColWidth="9.140625" defaultRowHeight="12"/>
  <cols>
    <col min="1" max="2" width="9.140625" style="1"/>
    <col min="3" max="3" width="60.5703125" style="1" customWidth="1"/>
    <col min="4" max="4" width="41.7109375" style="1" customWidth="1"/>
    <col min="5" max="5" width="42.140625" style="1" customWidth="1"/>
    <col min="6" max="6" width="36.85546875" style="1" customWidth="1"/>
    <col min="7" max="7" width="35.140625" style="1" customWidth="1"/>
    <col min="8" max="8" width="40" style="1" customWidth="1"/>
    <col min="9" max="9" width="41" style="1" customWidth="1"/>
    <col min="10" max="10" width="33.7109375" style="1" bestFit="1" customWidth="1"/>
    <col min="11" max="20" width="9.140625" style="1"/>
    <col min="21" max="21" width="40.28515625" style="1" customWidth="1"/>
    <col min="22" max="16384" width="9.140625" style="1"/>
  </cols>
  <sheetData>
    <row r="3" spans="3:8" ht="26.25" thickBot="1">
      <c r="C3" s="78" t="str">
        <f>CONCATENATE("Kengetallen: ",START!$D$8)</f>
        <v>Kengetallen: [selecteer]</v>
      </c>
      <c r="D3" s="78"/>
      <c r="E3" s="78"/>
      <c r="F3" s="78"/>
    </row>
    <row r="4" spans="3:8" ht="12" customHeight="1">
      <c r="C4" s="304" t="str">
        <f>CONCATENATE("
- Uw plannen liggen in een ",START!D8,". 
- Daarbij horen onderstaande kengetallen voor de verschillende activiteiten.
- Om af te wijken van deze kengetallen voert u handmatig een bedrag in. Gebruik hiervoor de gele cellen. 
- Onderbouw waarom u afwijkt in het tekstvak onder de tabellen.")</f>
        <v xml:space="preserve">
- Uw plannen liggen in een [selecteer]. 
- Daarbij horen onderstaande kengetallen voor de verschillende activiteiten.
- Om af te wijken van deze kengetallen voert u handmatig een bedrag in. Gebruik hiervoor de gele cellen. 
- Onderbouw waarom u afwijkt in het tekstvak onder de tabellen.</v>
      </c>
      <c r="D4" s="305"/>
      <c r="E4" s="305"/>
      <c r="F4" s="305"/>
      <c r="G4" s="305"/>
      <c r="H4" s="306"/>
    </row>
    <row r="5" spans="3:8" ht="12" customHeight="1">
      <c r="C5" s="307"/>
      <c r="D5" s="308"/>
      <c r="E5" s="308"/>
      <c r="F5" s="308"/>
      <c r="G5" s="308"/>
      <c r="H5" s="309"/>
    </row>
    <row r="6" spans="3:8" ht="12" customHeight="1">
      <c r="C6" s="307"/>
      <c r="D6" s="308"/>
      <c r="E6" s="308"/>
      <c r="F6" s="308"/>
      <c r="G6" s="308"/>
      <c r="H6" s="309"/>
    </row>
    <row r="7" spans="3:8" ht="12" customHeight="1">
      <c r="C7" s="307"/>
      <c r="D7" s="308"/>
      <c r="E7" s="308"/>
      <c r="F7" s="308"/>
      <c r="G7" s="308"/>
      <c r="H7" s="309"/>
    </row>
    <row r="8" spans="3:8" ht="12" customHeight="1">
      <c r="C8" s="307"/>
      <c r="D8" s="308"/>
      <c r="E8" s="308"/>
      <c r="F8" s="308"/>
      <c r="G8" s="308"/>
      <c r="H8" s="309"/>
    </row>
    <row r="9" spans="3:8" ht="12" customHeight="1">
      <c r="C9" s="307"/>
      <c r="D9" s="308"/>
      <c r="E9" s="308"/>
      <c r="F9" s="308"/>
      <c r="G9" s="308"/>
      <c r="H9" s="309"/>
    </row>
    <row r="10" spans="3:8" ht="12.75" customHeight="1">
      <c r="C10" s="307"/>
      <c r="D10" s="308"/>
      <c r="E10" s="308"/>
      <c r="F10" s="308"/>
      <c r="G10" s="308"/>
      <c r="H10" s="309"/>
    </row>
    <row r="11" spans="3:8" ht="12" customHeight="1">
      <c r="C11" s="307"/>
      <c r="D11" s="308"/>
      <c r="E11" s="308"/>
      <c r="F11" s="308"/>
      <c r="G11" s="308"/>
      <c r="H11" s="309"/>
    </row>
    <row r="12" spans="3:8" ht="12" customHeight="1">
      <c r="C12" s="307"/>
      <c r="D12" s="308"/>
      <c r="E12" s="308"/>
      <c r="F12" s="308"/>
      <c r="G12" s="308"/>
      <c r="H12" s="309"/>
    </row>
    <row r="13" spans="3:8" ht="12" customHeight="1">
      <c r="C13" s="307"/>
      <c r="D13" s="308"/>
      <c r="E13" s="308"/>
      <c r="F13" s="308"/>
      <c r="G13" s="308"/>
      <c r="H13" s="309"/>
    </row>
    <row r="14" spans="3:8" ht="12" customHeight="1">
      <c r="C14" s="307"/>
      <c r="D14" s="308"/>
      <c r="E14" s="308"/>
      <c r="F14" s="308"/>
      <c r="G14" s="308"/>
      <c r="H14" s="309"/>
    </row>
    <row r="15" spans="3:8" ht="12.75" customHeight="1">
      <c r="C15" s="307"/>
      <c r="D15" s="308"/>
      <c r="E15" s="308"/>
      <c r="F15" s="308"/>
      <c r="G15" s="308"/>
      <c r="H15" s="309"/>
    </row>
    <row r="16" spans="3:8" ht="12" customHeight="1">
      <c r="C16" s="307"/>
      <c r="D16" s="308"/>
      <c r="E16" s="308"/>
      <c r="F16" s="308"/>
      <c r="G16" s="308"/>
      <c r="H16" s="309"/>
    </row>
    <row r="17" spans="2:24" ht="12" customHeight="1">
      <c r="C17" s="307"/>
      <c r="D17" s="308"/>
      <c r="E17" s="308"/>
      <c r="F17" s="308"/>
      <c r="G17" s="308"/>
      <c r="H17" s="309"/>
    </row>
    <row r="18" spans="2:24" ht="12" customHeight="1" thickBot="1">
      <c r="C18" s="310"/>
      <c r="D18" s="311"/>
      <c r="E18" s="311"/>
      <c r="F18" s="311"/>
      <c r="G18" s="311"/>
      <c r="H18" s="312"/>
    </row>
    <row r="19" spans="2:24" ht="12" customHeight="1">
      <c r="C19" s="87"/>
      <c r="D19" s="87"/>
      <c r="E19" s="87"/>
      <c r="F19" s="87"/>
      <c r="G19" s="87"/>
      <c r="H19" s="87"/>
    </row>
    <row r="20" spans="2:24" ht="12" customHeight="1" thickBot="1">
      <c r="C20" s="87"/>
      <c r="D20" s="87"/>
      <c r="E20" s="87"/>
      <c r="F20" s="87"/>
      <c r="G20" s="87"/>
      <c r="H20" s="87"/>
    </row>
    <row r="21" spans="2:24" ht="12" customHeight="1">
      <c r="C21" s="313" t="s">
        <v>635</v>
      </c>
      <c r="D21" s="314"/>
      <c r="E21" s="314"/>
      <c r="F21" s="314"/>
      <c r="G21" s="314"/>
      <c r="H21" s="315"/>
    </row>
    <row r="22" spans="2:24" ht="12" customHeight="1">
      <c r="C22" s="316"/>
      <c r="D22" s="317"/>
      <c r="E22" s="317"/>
      <c r="F22" s="317"/>
      <c r="G22" s="317"/>
      <c r="H22" s="318"/>
    </row>
    <row r="23" spans="2:24" ht="12" customHeight="1">
      <c r="C23" s="316"/>
      <c r="D23" s="317"/>
      <c r="E23" s="317"/>
      <c r="F23" s="317"/>
      <c r="G23" s="317"/>
      <c r="H23" s="318"/>
    </row>
    <row r="24" spans="2:24" ht="12" customHeight="1">
      <c r="C24" s="316"/>
      <c r="D24" s="317"/>
      <c r="E24" s="317"/>
      <c r="F24" s="317"/>
      <c r="G24" s="317"/>
      <c r="H24" s="318"/>
    </row>
    <row r="25" spans="2:24" ht="12" customHeight="1">
      <c r="C25" s="316"/>
      <c r="D25" s="317"/>
      <c r="E25" s="317"/>
      <c r="F25" s="317"/>
      <c r="G25" s="317"/>
      <c r="H25" s="318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</row>
    <row r="26" spans="2:24" ht="55.5" customHeight="1" thickBot="1">
      <c r="C26" s="319"/>
      <c r="D26" s="320"/>
      <c r="E26" s="320"/>
      <c r="F26" s="320"/>
      <c r="G26" s="320"/>
      <c r="H26" s="321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</row>
    <row r="27" spans="2:24" ht="12" customHeight="1"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</row>
    <row r="28" spans="2:24" ht="20.25" customHeight="1" thickBot="1">
      <c r="B28" s="294" t="s">
        <v>414</v>
      </c>
      <c r="C28" s="294"/>
      <c r="D28" s="294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293" t="s">
        <v>629</v>
      </c>
      <c r="Q28" s="293"/>
      <c r="R28" s="293"/>
      <c r="S28" s="293"/>
      <c r="T28" s="293"/>
      <c r="U28" s="293"/>
      <c r="V28" s="293"/>
      <c r="W28" s="293"/>
      <c r="X28" s="293"/>
    </row>
    <row r="29" spans="2:24" ht="12" customHeight="1">
      <c r="B29" s="79"/>
      <c r="C29" s="85"/>
      <c r="D29" s="85"/>
      <c r="E29" s="85"/>
      <c r="F29" s="85"/>
      <c r="G29" s="85"/>
      <c r="H29" s="85"/>
      <c r="I29" s="85"/>
      <c r="J29" s="86"/>
      <c r="K29" s="87"/>
      <c r="L29" s="87"/>
      <c r="M29" s="87"/>
      <c r="N29" s="87"/>
      <c r="O29" s="87"/>
      <c r="P29" s="293"/>
      <c r="Q29" s="293"/>
      <c r="R29" s="293"/>
      <c r="S29" s="293"/>
      <c r="T29" s="293"/>
      <c r="U29" s="293"/>
      <c r="V29" s="293"/>
      <c r="W29" s="293"/>
      <c r="X29" s="293"/>
    </row>
    <row r="30" spans="2:24" ht="20.25" customHeight="1">
      <c r="B30" s="80"/>
      <c r="C30" s="89" t="s">
        <v>417</v>
      </c>
      <c r="D30" s="90" t="s">
        <v>383</v>
      </c>
      <c r="E30" s="91" t="s">
        <v>2</v>
      </c>
      <c r="F30" s="90" t="s">
        <v>350</v>
      </c>
      <c r="G30" s="90" t="s">
        <v>385</v>
      </c>
      <c r="H30" s="90" t="s">
        <v>386</v>
      </c>
      <c r="I30" s="249" t="s">
        <v>583</v>
      </c>
      <c r="J30" s="88"/>
      <c r="K30" s="74"/>
      <c r="L30" s="74"/>
      <c r="M30" s="74"/>
      <c r="P30" s="293"/>
      <c r="Q30" s="293"/>
      <c r="R30" s="293"/>
      <c r="S30" s="293"/>
      <c r="T30" s="293"/>
      <c r="U30" s="293"/>
      <c r="V30" s="293"/>
      <c r="W30" s="293"/>
      <c r="X30" s="293"/>
    </row>
    <row r="31" spans="2:24" ht="20.25" customHeight="1">
      <c r="B31" s="80"/>
      <c r="C31" s="92" t="s">
        <v>415</v>
      </c>
      <c r="D31" s="100" t="e">
        <f>VLOOKUP(START!$D$8,'Bron getallen sloop-nieuwbouw'!$B$2:$H$5,2,FALSE)</f>
        <v>#N/A</v>
      </c>
      <c r="E31" s="100" t="e">
        <f>VLOOKUP(START!$D$8,'Bron getallen sloop-nieuwbouw'!$B$2:$H$5,3,FALSE)</f>
        <v>#N/A</v>
      </c>
      <c r="F31" s="100" t="e">
        <f>VLOOKUP(START!$D$8,'Bron getallen sloop-nieuwbouw'!$B$2:$H$5,4,FALSE)</f>
        <v>#N/A</v>
      </c>
      <c r="G31" s="100" t="e">
        <f>VLOOKUP(START!$D$8,'Bron getallen sloop-nieuwbouw'!$B$2:$H$5,5,FALSE)</f>
        <v>#N/A</v>
      </c>
      <c r="H31" s="100" t="e">
        <f>VLOOKUP(START!$D$8,'Bron getallen sloop-nieuwbouw'!$B$2:$H$5,6,FALSE)</f>
        <v>#N/A</v>
      </c>
      <c r="I31" s="101" t="e">
        <f>VLOOKUP(START!$D$8,'Bron getallen sloop-nieuwbouw'!$B$2:$H$5,7,FALSE)</f>
        <v>#N/A</v>
      </c>
      <c r="J31" s="106" t="str">
        <f>IF(ISERROR(D31),"      *Selecteer type gebied op tabblad START cel D8","")</f>
        <v xml:space="preserve">      *Selecteer type gebied op tabblad START cel D8</v>
      </c>
      <c r="K31" s="74"/>
      <c r="L31" s="74"/>
      <c r="M31" s="74"/>
      <c r="P31" s="293"/>
      <c r="Q31" s="293"/>
      <c r="R31" s="293"/>
      <c r="S31" s="293"/>
      <c r="T31" s="293"/>
      <c r="U31" s="293"/>
      <c r="V31" s="293"/>
      <c r="W31" s="293"/>
      <c r="X31" s="293"/>
    </row>
    <row r="32" spans="2:24" ht="27.75" customHeight="1">
      <c r="B32" s="80"/>
      <c r="C32" s="93" t="s">
        <v>416</v>
      </c>
      <c r="D32" s="94"/>
      <c r="E32" s="94"/>
      <c r="F32" s="94"/>
      <c r="G32" s="94"/>
      <c r="H32" s="94"/>
      <c r="I32" s="95"/>
      <c r="J32" s="88"/>
      <c r="K32" s="74"/>
      <c r="L32" s="74"/>
      <c r="M32" s="74"/>
      <c r="P32" s="293"/>
      <c r="Q32" s="293"/>
      <c r="R32" s="293"/>
      <c r="S32" s="293"/>
      <c r="T32" s="293"/>
      <c r="U32" s="293"/>
      <c r="V32" s="293"/>
      <c r="W32" s="293"/>
      <c r="X32" s="293"/>
    </row>
    <row r="33" spans="2:13" ht="20.25">
      <c r="B33" s="80"/>
      <c r="D33" s="104" t="str">
        <f t="shared" ref="D33:I33" si="0">IF(ISNUMBER(D32)=FALSE,IF(D32="","","Voer bedrag in!!"),"")</f>
        <v/>
      </c>
      <c r="E33" s="104" t="str">
        <f t="shared" si="0"/>
        <v/>
      </c>
      <c r="F33" s="104" t="str">
        <f t="shared" si="0"/>
        <v/>
      </c>
      <c r="G33" s="104" t="str">
        <f t="shared" si="0"/>
        <v/>
      </c>
      <c r="H33" s="104" t="str">
        <f t="shared" si="0"/>
        <v/>
      </c>
      <c r="I33" s="104" t="str">
        <f t="shared" si="0"/>
        <v/>
      </c>
      <c r="J33" s="88"/>
      <c r="K33" s="74"/>
      <c r="L33" s="74"/>
      <c r="M33" s="74"/>
    </row>
    <row r="34" spans="2:13" ht="20.25">
      <c r="B34" s="80"/>
      <c r="C34" s="89" t="s">
        <v>577</v>
      </c>
      <c r="D34" s="90" t="s">
        <v>383</v>
      </c>
      <c r="E34" s="91" t="s">
        <v>2</v>
      </c>
      <c r="F34" s="90" t="s">
        <v>350</v>
      </c>
      <c r="G34" s="90" t="s">
        <v>385</v>
      </c>
      <c r="H34" s="90" t="s">
        <v>386</v>
      </c>
      <c r="I34" s="249" t="s">
        <v>583</v>
      </c>
      <c r="J34" s="88"/>
      <c r="K34" s="74"/>
      <c r="L34" s="74"/>
      <c r="M34" s="74"/>
    </row>
    <row r="35" spans="2:13" ht="20.25">
      <c r="B35" s="80"/>
      <c r="C35" s="92" t="s">
        <v>415</v>
      </c>
      <c r="D35" s="100" t="e">
        <f>VLOOKUP(START!$D$8,'Bron getallen sloop-nieuwbouw'!$B$7:$H$10,2,FALSE)</f>
        <v>#N/A</v>
      </c>
      <c r="E35" s="100" t="e">
        <f>VLOOKUP(START!$D$8,'Bron getallen sloop-nieuwbouw'!$B$7:$H$10,3,FALSE)</f>
        <v>#N/A</v>
      </c>
      <c r="F35" s="100" t="e">
        <f>VLOOKUP(START!$D$8,'Bron getallen sloop-nieuwbouw'!$B$7:$H$10,4,FALSE)</f>
        <v>#N/A</v>
      </c>
      <c r="G35" s="100" t="e">
        <f>VLOOKUP(START!$D$8,'Bron getallen sloop-nieuwbouw'!$B$7:$H$10,5,FALSE)</f>
        <v>#N/A</v>
      </c>
      <c r="H35" s="100" t="e">
        <f>VLOOKUP(START!$D$8,'Bron getallen sloop-nieuwbouw'!$B$7:$H$10,6,FALSE)</f>
        <v>#N/A</v>
      </c>
      <c r="I35" s="100" t="e">
        <f>VLOOKUP(START!$D$8,'Bron getallen sloop-nieuwbouw'!$B$7:$H$10,7,FALSE)</f>
        <v>#N/A</v>
      </c>
      <c r="J35" s="106" t="str">
        <f>IF(ISERROR(D35),"      *Selecteer type gebied op tabblad START cel D8","")</f>
        <v xml:space="preserve">      *Selecteer type gebied op tabblad START cel D8</v>
      </c>
      <c r="K35" s="74"/>
      <c r="L35" s="74"/>
      <c r="M35" s="74"/>
    </row>
    <row r="36" spans="2:13" ht="20.25">
      <c r="B36" s="80"/>
      <c r="C36" s="93" t="s">
        <v>416</v>
      </c>
      <c r="D36" s="94"/>
      <c r="E36" s="94"/>
      <c r="F36" s="94"/>
      <c r="G36" s="94"/>
      <c r="H36" s="94"/>
      <c r="I36" s="95"/>
      <c r="J36" s="81"/>
      <c r="K36" s="74"/>
      <c r="L36" s="74"/>
      <c r="M36" s="74"/>
    </row>
    <row r="37" spans="2:13" ht="20.25">
      <c r="B37" s="80"/>
      <c r="D37" s="104" t="str">
        <f t="shared" ref="D37:I37" si="1">IF(ISNUMBER(D36)=FALSE,IF(D36="","","Voer bedrag in!!"),"")</f>
        <v/>
      </c>
      <c r="E37" s="104" t="str">
        <f t="shared" si="1"/>
        <v/>
      </c>
      <c r="F37" s="104" t="str">
        <f t="shared" si="1"/>
        <v/>
      </c>
      <c r="G37" s="104" t="str">
        <f t="shared" si="1"/>
        <v/>
      </c>
      <c r="H37" s="104" t="str">
        <f t="shared" si="1"/>
        <v/>
      </c>
      <c r="I37" s="104" t="str">
        <f t="shared" si="1"/>
        <v/>
      </c>
      <c r="J37" s="81"/>
      <c r="K37" s="74"/>
      <c r="L37" s="74"/>
      <c r="M37" s="74"/>
    </row>
    <row r="38" spans="2:13" ht="20.25">
      <c r="B38" s="80"/>
      <c r="C38" s="96" t="s">
        <v>418</v>
      </c>
      <c r="J38" s="81"/>
      <c r="K38" s="74"/>
      <c r="L38" s="74"/>
      <c r="M38" s="74"/>
    </row>
    <row r="39" spans="2:13" ht="20.25">
      <c r="B39" s="80"/>
      <c r="C39" s="295"/>
      <c r="D39" s="296"/>
      <c r="E39" s="296"/>
      <c r="F39" s="296"/>
      <c r="G39" s="297"/>
      <c r="J39" s="81"/>
      <c r="K39" s="74"/>
      <c r="L39" s="74"/>
      <c r="M39" s="74"/>
    </row>
    <row r="40" spans="2:13" ht="12" customHeight="1">
      <c r="B40" s="80"/>
      <c r="C40" s="298"/>
      <c r="D40" s="299"/>
      <c r="E40" s="299"/>
      <c r="F40" s="299"/>
      <c r="G40" s="300"/>
      <c r="J40" s="81"/>
    </row>
    <row r="41" spans="2:13" ht="12" customHeight="1">
      <c r="B41" s="80"/>
      <c r="C41" s="298"/>
      <c r="D41" s="299"/>
      <c r="E41" s="299"/>
      <c r="F41" s="299"/>
      <c r="G41" s="300"/>
      <c r="J41" s="81"/>
    </row>
    <row r="42" spans="2:13" ht="12" customHeight="1">
      <c r="B42" s="80"/>
      <c r="C42" s="298"/>
      <c r="D42" s="299"/>
      <c r="E42" s="299"/>
      <c r="F42" s="299"/>
      <c r="G42" s="300"/>
      <c r="J42" s="81"/>
    </row>
    <row r="43" spans="2:13" ht="12" customHeight="1">
      <c r="B43" s="80"/>
      <c r="C43" s="298"/>
      <c r="D43" s="299"/>
      <c r="E43" s="299"/>
      <c r="F43" s="299"/>
      <c r="G43" s="300"/>
      <c r="J43" s="81"/>
    </row>
    <row r="44" spans="2:13" ht="12" customHeight="1">
      <c r="B44" s="80"/>
      <c r="C44" s="298"/>
      <c r="D44" s="299"/>
      <c r="E44" s="299"/>
      <c r="F44" s="299"/>
      <c r="G44" s="300"/>
      <c r="J44" s="81"/>
    </row>
    <row r="45" spans="2:13" ht="12" customHeight="1">
      <c r="B45" s="80"/>
      <c r="C45" s="298"/>
      <c r="D45" s="299"/>
      <c r="E45" s="299"/>
      <c r="F45" s="299"/>
      <c r="G45" s="300"/>
      <c r="J45" s="81"/>
    </row>
    <row r="46" spans="2:13" ht="20.25">
      <c r="B46" s="80"/>
      <c r="C46" s="298"/>
      <c r="D46" s="299"/>
      <c r="E46" s="299"/>
      <c r="F46" s="299"/>
      <c r="G46" s="300"/>
      <c r="J46" s="88"/>
    </row>
    <row r="47" spans="2:13" ht="20.25">
      <c r="B47" s="80"/>
      <c r="C47" s="298"/>
      <c r="D47" s="299"/>
      <c r="E47" s="299"/>
      <c r="F47" s="299"/>
      <c r="G47" s="300"/>
      <c r="J47" s="88"/>
    </row>
    <row r="48" spans="2:13" ht="20.25">
      <c r="B48" s="80"/>
      <c r="C48" s="298"/>
      <c r="D48" s="299"/>
      <c r="E48" s="299"/>
      <c r="F48" s="299"/>
      <c r="G48" s="300"/>
      <c r="J48" s="88"/>
    </row>
    <row r="49" spans="2:10" ht="20.25">
      <c r="B49" s="80"/>
      <c r="C49" s="298"/>
      <c r="D49" s="299"/>
      <c r="E49" s="299"/>
      <c r="F49" s="299"/>
      <c r="G49" s="300"/>
      <c r="J49" s="88"/>
    </row>
    <row r="50" spans="2:10" ht="20.25">
      <c r="B50" s="80"/>
      <c r="C50" s="298"/>
      <c r="D50" s="299"/>
      <c r="E50" s="299"/>
      <c r="F50" s="299"/>
      <c r="G50" s="300"/>
      <c r="J50" s="88"/>
    </row>
    <row r="51" spans="2:10" ht="12" customHeight="1">
      <c r="B51" s="80"/>
      <c r="C51" s="298"/>
      <c r="D51" s="299"/>
      <c r="E51" s="299"/>
      <c r="F51" s="299"/>
      <c r="G51" s="300"/>
      <c r="J51" s="81"/>
    </row>
    <row r="52" spans="2:10" ht="12" customHeight="1">
      <c r="B52" s="80"/>
      <c r="C52" s="298"/>
      <c r="D52" s="299"/>
      <c r="E52" s="299"/>
      <c r="F52" s="299"/>
      <c r="G52" s="300"/>
      <c r="J52" s="81"/>
    </row>
    <row r="53" spans="2:10" ht="12" customHeight="1">
      <c r="B53" s="80"/>
      <c r="C53" s="301"/>
      <c r="D53" s="302"/>
      <c r="E53" s="302"/>
      <c r="F53" s="302"/>
      <c r="G53" s="303"/>
      <c r="J53" s="81"/>
    </row>
    <row r="54" spans="2:10">
      <c r="B54" s="80"/>
      <c r="J54" s="81"/>
    </row>
    <row r="55" spans="2:10" ht="21" customHeight="1" thickBot="1">
      <c r="B55" s="82"/>
      <c r="C55" s="83"/>
      <c r="D55" s="83"/>
      <c r="E55" s="83"/>
      <c r="F55" s="83"/>
      <c r="G55" s="83"/>
      <c r="H55" s="83"/>
      <c r="I55" s="83"/>
      <c r="J55" s="84"/>
    </row>
    <row r="57" spans="2:10" ht="21" thickBot="1">
      <c r="B57" s="294" t="s">
        <v>419</v>
      </c>
      <c r="C57" s="294"/>
      <c r="D57" s="294"/>
      <c r="F57" s="87"/>
      <c r="G57" s="87"/>
      <c r="H57" s="87"/>
      <c r="I57" s="87"/>
      <c r="J57" s="87"/>
    </row>
    <row r="58" spans="2:10" ht="20.25">
      <c r="B58" s="79"/>
      <c r="C58" s="85"/>
      <c r="D58" s="85"/>
      <c r="E58" s="85"/>
      <c r="F58" s="85"/>
      <c r="G58" s="85"/>
      <c r="H58" s="85"/>
      <c r="I58" s="85"/>
      <c r="J58" s="86"/>
    </row>
    <row r="59" spans="2:10" ht="40.5">
      <c r="B59" s="80"/>
      <c r="C59" s="97" t="s">
        <v>420</v>
      </c>
      <c r="D59" s="90" t="s">
        <v>348</v>
      </c>
      <c r="E59" s="91" t="s">
        <v>349</v>
      </c>
      <c r="F59" s="90" t="s">
        <v>2</v>
      </c>
      <c r="G59" s="90" t="s">
        <v>350</v>
      </c>
      <c r="H59" s="90" t="s">
        <v>351</v>
      </c>
      <c r="I59" s="87"/>
      <c r="J59" s="88"/>
    </row>
    <row r="60" spans="2:10" ht="20.25">
      <c r="B60" s="80"/>
      <c r="C60" s="92" t="s">
        <v>415</v>
      </c>
      <c r="D60" s="99">
        <f>'Bron getallen verduurzamen'!C4</f>
        <v>6209.9999999999991</v>
      </c>
      <c r="E60" s="99">
        <f>'Bron getallen verduurzamen'!C5</f>
        <v>6554.9999999999991</v>
      </c>
      <c r="F60" s="99">
        <f>'Bron getallen verduurzamen'!C6</f>
        <v>6899.9999999999991</v>
      </c>
      <c r="G60" s="99">
        <f>'Bron getallen verduurzamen'!C7</f>
        <v>10350</v>
      </c>
      <c r="H60" s="99">
        <f>'Bron getallen verduurzamen'!C8</f>
        <v>6209.9999999999991</v>
      </c>
      <c r="I60" s="87"/>
      <c r="J60" s="88"/>
    </row>
    <row r="61" spans="2:10" ht="20.25">
      <c r="B61" s="80"/>
      <c r="C61" s="93" t="s">
        <v>416</v>
      </c>
      <c r="D61" s="94"/>
      <c r="E61" s="94"/>
      <c r="F61" s="94"/>
      <c r="G61" s="94"/>
      <c r="H61" s="94"/>
      <c r="I61" s="87"/>
      <c r="J61" s="88"/>
    </row>
    <row r="62" spans="2:10" ht="20.25">
      <c r="B62" s="80"/>
      <c r="C62" s="74"/>
      <c r="D62" s="104" t="str">
        <f>IF(ISNUMBER(D61)=FALSE,IF(D61="","","Voer bedrag in!!"),"")</f>
        <v/>
      </c>
      <c r="E62" s="104" t="str">
        <f t="shared" ref="E62:H62" si="2">IF(ISNUMBER(E61)=FALSE,IF(E61="","","Voer bedrag in!!"),"")</f>
        <v/>
      </c>
      <c r="F62" s="104" t="str">
        <f t="shared" si="2"/>
        <v/>
      </c>
      <c r="G62" s="104" t="str">
        <f t="shared" si="2"/>
        <v/>
      </c>
      <c r="H62" s="104" t="str">
        <f t="shared" si="2"/>
        <v/>
      </c>
      <c r="I62" s="87"/>
      <c r="J62" s="88"/>
    </row>
    <row r="63" spans="2:10" ht="40.5">
      <c r="B63" s="80"/>
      <c r="C63" s="97" t="s">
        <v>421</v>
      </c>
      <c r="D63" s="90" t="s">
        <v>348</v>
      </c>
      <c r="E63" s="91" t="s">
        <v>349</v>
      </c>
      <c r="F63" s="90" t="s">
        <v>2</v>
      </c>
      <c r="G63" s="90" t="s">
        <v>350</v>
      </c>
      <c r="H63" s="90" t="s">
        <v>351</v>
      </c>
      <c r="I63" s="87"/>
      <c r="J63" s="88"/>
    </row>
    <row r="64" spans="2:10" ht="20.25">
      <c r="B64" s="80"/>
      <c r="C64" s="92" t="s">
        <v>415</v>
      </c>
      <c r="D64" s="99">
        <f>'Bron getallen verduurzamen'!C10</f>
        <v>5060</v>
      </c>
      <c r="E64" s="99">
        <f>'Bron getallen verduurzamen'!C11</f>
        <v>5405</v>
      </c>
      <c r="F64" s="99">
        <f>'Bron getallen verduurzamen'!C12</f>
        <v>5750</v>
      </c>
      <c r="G64" s="99">
        <f>'Bron getallen verduurzamen'!C13</f>
        <v>12649.999999999998</v>
      </c>
      <c r="H64" s="99">
        <f>'Bron getallen verduurzamen'!C14</f>
        <v>5060</v>
      </c>
      <c r="I64" s="87"/>
      <c r="J64" s="88"/>
    </row>
    <row r="65" spans="2:10" ht="20.25">
      <c r="B65" s="80"/>
      <c r="C65" s="93" t="s">
        <v>416</v>
      </c>
      <c r="D65" s="94"/>
      <c r="E65" s="94"/>
      <c r="F65" s="94"/>
      <c r="G65" s="94"/>
      <c r="H65" s="94"/>
      <c r="I65" s="87"/>
      <c r="J65" s="88"/>
    </row>
    <row r="66" spans="2:10" ht="20.25">
      <c r="B66" s="80"/>
      <c r="C66" s="74"/>
      <c r="D66" s="104" t="str">
        <f>IF(ISNUMBER(D65)=FALSE,IF(D65="","","Voer bedrag in!!"),"")</f>
        <v/>
      </c>
      <c r="E66" s="104" t="str">
        <f t="shared" ref="E66" si="3">IF(ISNUMBER(E65)=FALSE,IF(E65="","","Voer bedrag in!!"),"")</f>
        <v/>
      </c>
      <c r="F66" s="104" t="str">
        <f t="shared" ref="F66" si="4">IF(ISNUMBER(F65)=FALSE,IF(F65="","","Voer bedrag in!!"),"")</f>
        <v/>
      </c>
      <c r="G66" s="104" t="str">
        <f t="shared" ref="G66" si="5">IF(ISNUMBER(G65)=FALSE,IF(G65="","","Voer bedrag in!!"),"")</f>
        <v/>
      </c>
      <c r="H66" s="104" t="str">
        <f t="shared" ref="H66" si="6">IF(ISNUMBER(H65)=FALSE,IF(H65="","","Voer bedrag in!!"),"")</f>
        <v/>
      </c>
      <c r="I66" s="87"/>
      <c r="J66" s="88"/>
    </row>
    <row r="67" spans="2:10" ht="40.5">
      <c r="B67" s="80"/>
      <c r="C67" s="97" t="s">
        <v>422</v>
      </c>
      <c r="D67" s="90" t="s">
        <v>348</v>
      </c>
      <c r="E67" s="91" t="s">
        <v>349</v>
      </c>
      <c r="F67" s="90" t="s">
        <v>2</v>
      </c>
      <c r="G67" s="90" t="s">
        <v>350</v>
      </c>
      <c r="H67" s="90" t="s">
        <v>351</v>
      </c>
      <c r="I67" s="87"/>
      <c r="J67" s="88"/>
    </row>
    <row r="68" spans="2:10" ht="20.25">
      <c r="B68" s="80"/>
      <c r="C68" s="92" t="s">
        <v>415</v>
      </c>
      <c r="D68" s="99">
        <f>'Bron getallen verduurzamen'!C16</f>
        <v>3679.9999999999995</v>
      </c>
      <c r="E68" s="99">
        <f>'Bron getallen verduurzamen'!C17</f>
        <v>3909.9999999999995</v>
      </c>
      <c r="F68" s="99">
        <f>'Bron getallen verduurzamen'!C18</f>
        <v>4024.9999999999995</v>
      </c>
      <c r="G68" s="99">
        <f>'Bron getallen verduurzamen'!C19</f>
        <v>6324.9999999999991</v>
      </c>
      <c r="H68" s="99">
        <f>'Bron getallen verduurzamen'!C20</f>
        <v>3679.9999999999995</v>
      </c>
      <c r="I68" s="87"/>
      <c r="J68" s="88"/>
    </row>
    <row r="69" spans="2:10" ht="20.25">
      <c r="B69" s="80"/>
      <c r="C69" s="93" t="s">
        <v>416</v>
      </c>
      <c r="D69" s="94"/>
      <c r="E69" s="94"/>
      <c r="F69" s="94"/>
      <c r="G69" s="94"/>
      <c r="H69" s="94"/>
      <c r="I69" s="87"/>
      <c r="J69" s="88"/>
    </row>
    <row r="70" spans="2:10" ht="20.25">
      <c r="B70" s="80"/>
      <c r="C70" s="74"/>
      <c r="D70" s="104" t="str">
        <f>IF(ISNUMBER(D69)=FALSE,IF(D69="","","Voer bedrag in!!"),"")</f>
        <v/>
      </c>
      <c r="E70" s="104" t="str">
        <f t="shared" ref="E70" si="7">IF(ISNUMBER(E69)=FALSE,IF(E69="","","Voer bedrag in!!"),"")</f>
        <v/>
      </c>
      <c r="F70" s="104" t="str">
        <f t="shared" ref="F70" si="8">IF(ISNUMBER(F69)=FALSE,IF(F69="","","Voer bedrag in!!"),"")</f>
        <v/>
      </c>
      <c r="G70" s="104" t="str">
        <f t="shared" ref="G70" si="9">IF(ISNUMBER(G69)=FALSE,IF(G69="","","Voer bedrag in!!"),"")</f>
        <v/>
      </c>
      <c r="H70" s="104" t="str">
        <f t="shared" ref="H70" si="10">IF(ISNUMBER(H69)=FALSE,IF(H69="","","Voer bedrag in!!"),"")</f>
        <v/>
      </c>
      <c r="I70" s="87"/>
      <c r="J70" s="88"/>
    </row>
    <row r="71" spans="2:10" ht="40.5">
      <c r="B71" s="80"/>
      <c r="C71" s="97" t="s">
        <v>423</v>
      </c>
      <c r="D71" s="90" t="s">
        <v>348</v>
      </c>
      <c r="E71" s="91" t="s">
        <v>349</v>
      </c>
      <c r="F71" s="90" t="s">
        <v>2</v>
      </c>
      <c r="G71" s="90" t="s">
        <v>350</v>
      </c>
      <c r="H71" s="90" t="s">
        <v>351</v>
      </c>
      <c r="I71" s="87"/>
      <c r="J71" s="88"/>
    </row>
    <row r="72" spans="2:10" ht="20.25">
      <c r="B72" s="80"/>
      <c r="C72" s="92" t="s">
        <v>415</v>
      </c>
      <c r="D72" s="99">
        <f>'Bron getallen verduurzamen'!C22</f>
        <v>1265</v>
      </c>
      <c r="E72" s="99">
        <f>'Bron getallen verduurzamen'!C23</f>
        <v>2702.5</v>
      </c>
      <c r="F72" s="99">
        <f>'Bron getallen verduurzamen'!C24</f>
        <v>2817.5</v>
      </c>
      <c r="G72" s="99">
        <f>'Bron getallen verduurzamen'!C25</f>
        <v>4024.9999999999995</v>
      </c>
      <c r="H72" s="99">
        <f>'Bron getallen verduurzamen'!C26</f>
        <v>1265</v>
      </c>
      <c r="I72" s="87"/>
      <c r="J72" s="88"/>
    </row>
    <row r="73" spans="2:10" ht="20.25">
      <c r="B73" s="80"/>
      <c r="C73" s="93" t="s">
        <v>416</v>
      </c>
      <c r="D73" s="94"/>
      <c r="E73" s="94"/>
      <c r="F73" s="94"/>
      <c r="G73" s="94"/>
      <c r="H73" s="94"/>
      <c r="I73" s="87"/>
      <c r="J73" s="88"/>
    </row>
    <row r="74" spans="2:10" ht="20.25">
      <c r="B74" s="80"/>
      <c r="C74" s="74"/>
      <c r="D74" s="104" t="str">
        <f>IF(ISNUMBER(D73)=FALSE,IF(D73="","","Voer bedrag in!!"),"")</f>
        <v/>
      </c>
      <c r="E74" s="104" t="str">
        <f t="shared" ref="E74" si="11">IF(ISNUMBER(E73)=FALSE,IF(E73="","","Voer bedrag in!!"),"")</f>
        <v/>
      </c>
      <c r="F74" s="104" t="str">
        <f t="shared" ref="F74" si="12">IF(ISNUMBER(F73)=FALSE,IF(F73="","","Voer bedrag in!!"),"")</f>
        <v/>
      </c>
      <c r="G74" s="104" t="str">
        <f t="shared" ref="G74" si="13">IF(ISNUMBER(G73)=FALSE,IF(G73="","","Voer bedrag in!!"),"")</f>
        <v/>
      </c>
      <c r="H74" s="104" t="str">
        <f t="shared" ref="H74" si="14">IF(ISNUMBER(H73)=FALSE,IF(H73="","","Voer bedrag in!!"),"")</f>
        <v/>
      </c>
      <c r="I74" s="87"/>
      <c r="J74" s="88"/>
    </row>
    <row r="75" spans="2:10" ht="40.5">
      <c r="B75" s="80"/>
      <c r="C75" s="97" t="s">
        <v>424</v>
      </c>
      <c r="D75" s="90" t="s">
        <v>348</v>
      </c>
      <c r="E75" s="91" t="s">
        <v>349</v>
      </c>
      <c r="F75" s="90" t="s">
        <v>2</v>
      </c>
      <c r="G75" s="90" t="s">
        <v>350</v>
      </c>
      <c r="H75" s="90" t="s">
        <v>351</v>
      </c>
      <c r="I75" s="87"/>
      <c r="J75" s="88"/>
    </row>
    <row r="76" spans="2:10" ht="20.25">
      <c r="B76" s="80"/>
      <c r="C76" s="92" t="s">
        <v>415</v>
      </c>
      <c r="D76" s="99">
        <f>'Bron getallen verduurzamen'!C28</f>
        <v>11500</v>
      </c>
      <c r="E76" s="99">
        <f>'Bron getallen verduurzamen'!C29</f>
        <v>24724.999999999996</v>
      </c>
      <c r="F76" s="99">
        <f>'Bron getallen verduurzamen'!C30</f>
        <v>25874.999999999996</v>
      </c>
      <c r="G76" s="99">
        <f>'Bron getallen verduurzamen'!C31</f>
        <v>36800</v>
      </c>
      <c r="H76" s="99">
        <f>'Bron getallen verduurzamen'!C32</f>
        <v>11500</v>
      </c>
      <c r="I76" s="87"/>
      <c r="J76" s="88"/>
    </row>
    <row r="77" spans="2:10" ht="20.25">
      <c r="B77" s="80"/>
      <c r="C77" s="93" t="s">
        <v>416</v>
      </c>
      <c r="D77" s="94"/>
      <c r="E77" s="94"/>
      <c r="F77" s="94"/>
      <c r="G77" s="94"/>
      <c r="H77" s="94"/>
      <c r="I77" s="87"/>
      <c r="J77" s="88"/>
    </row>
    <row r="78" spans="2:10" ht="20.25">
      <c r="B78" s="80"/>
      <c r="C78" s="74"/>
      <c r="D78" s="104" t="str">
        <f>IF(ISNUMBER(D77)=FALSE,IF(D77="","","Voer bedrag in!!"),"")</f>
        <v/>
      </c>
      <c r="E78" s="104" t="str">
        <f t="shared" ref="E78" si="15">IF(ISNUMBER(E77)=FALSE,IF(E77="","","Voer bedrag in!!"),"")</f>
        <v/>
      </c>
      <c r="F78" s="104" t="str">
        <f t="shared" ref="F78" si="16">IF(ISNUMBER(F77)=FALSE,IF(F77="","","Voer bedrag in!!"),"")</f>
        <v/>
      </c>
      <c r="G78" s="104" t="str">
        <f t="shared" ref="G78" si="17">IF(ISNUMBER(G77)=FALSE,IF(G77="","","Voer bedrag in!!"),"")</f>
        <v/>
      </c>
      <c r="H78" s="104" t="str">
        <f t="shared" ref="H78" si="18">IF(ISNUMBER(H77)=FALSE,IF(H77="","","Voer bedrag in!!"),"")</f>
        <v/>
      </c>
      <c r="I78" s="87"/>
      <c r="J78" s="88"/>
    </row>
    <row r="79" spans="2:10" ht="40.5">
      <c r="B79" s="80"/>
      <c r="C79" s="97" t="s">
        <v>425</v>
      </c>
      <c r="D79" s="90" t="s">
        <v>348</v>
      </c>
      <c r="E79" s="91" t="s">
        <v>349</v>
      </c>
      <c r="F79" s="90" t="s">
        <v>2</v>
      </c>
      <c r="G79" s="90" t="s">
        <v>350</v>
      </c>
      <c r="H79" s="90" t="s">
        <v>351</v>
      </c>
      <c r="I79" s="87"/>
      <c r="J79" s="88"/>
    </row>
    <row r="80" spans="2:10" ht="20.25">
      <c r="B80" s="80"/>
      <c r="C80" s="92" t="s">
        <v>415</v>
      </c>
      <c r="D80" s="99">
        <f>'Bron getallen verduurzamen'!C34</f>
        <v>2242.5</v>
      </c>
      <c r="E80" s="99">
        <f>'Bron getallen verduurzamen'!C35</f>
        <v>2357.5</v>
      </c>
      <c r="F80" s="99">
        <f>'Bron getallen verduurzamen'!C36</f>
        <v>2989.9999999999995</v>
      </c>
      <c r="G80" s="99">
        <f>'Bron getallen verduurzamen'!C37</f>
        <v>4370</v>
      </c>
      <c r="H80" s="99">
        <f>'Bron getallen verduurzamen'!C38</f>
        <v>2242.5</v>
      </c>
      <c r="I80" s="87"/>
      <c r="J80" s="88"/>
    </row>
    <row r="81" spans="2:10" ht="20.25">
      <c r="B81" s="80"/>
      <c r="C81" s="93" t="s">
        <v>416</v>
      </c>
      <c r="D81" s="94"/>
      <c r="E81" s="94"/>
      <c r="F81" s="94"/>
      <c r="G81" s="94"/>
      <c r="H81" s="94"/>
      <c r="I81" s="87"/>
      <c r="J81" s="88"/>
    </row>
    <row r="82" spans="2:10" ht="20.25">
      <c r="B82" s="80"/>
      <c r="C82" s="74"/>
      <c r="D82" s="104" t="str">
        <f>IF(ISNUMBER(D81)=FALSE,IF(D81="","","Voer bedrag in!!"),"")</f>
        <v/>
      </c>
      <c r="E82" s="104" t="str">
        <f t="shared" ref="E82" si="19">IF(ISNUMBER(E81)=FALSE,IF(E81="","","Voer bedrag in!!"),"")</f>
        <v/>
      </c>
      <c r="F82" s="104" t="str">
        <f t="shared" ref="F82" si="20">IF(ISNUMBER(F81)=FALSE,IF(F81="","","Voer bedrag in!!"),"")</f>
        <v/>
      </c>
      <c r="G82" s="104" t="str">
        <f t="shared" ref="G82" si="21">IF(ISNUMBER(G81)=FALSE,IF(G81="","","Voer bedrag in!!"),"")</f>
        <v/>
      </c>
      <c r="H82" s="104" t="str">
        <f t="shared" ref="H82" si="22">IF(ISNUMBER(H81)=FALSE,IF(H81="","","Voer bedrag in!!"),"")</f>
        <v/>
      </c>
      <c r="I82" s="87"/>
      <c r="J82" s="88"/>
    </row>
    <row r="83" spans="2:10" ht="40.5">
      <c r="B83" s="80"/>
      <c r="C83" s="97" t="s">
        <v>426</v>
      </c>
      <c r="D83" s="90" t="s">
        <v>348</v>
      </c>
      <c r="E83" s="91" t="s">
        <v>349</v>
      </c>
      <c r="F83" s="90" t="s">
        <v>2</v>
      </c>
      <c r="G83" s="90" t="s">
        <v>350</v>
      </c>
      <c r="H83" s="90" t="s">
        <v>351</v>
      </c>
      <c r="I83" s="87"/>
      <c r="J83" s="88"/>
    </row>
    <row r="84" spans="2:10" ht="20.25">
      <c r="B84" s="80"/>
      <c r="C84" s="92" t="s">
        <v>415</v>
      </c>
      <c r="D84" s="99">
        <f>'Bron getallen verduurzamen'!C40</f>
        <v>4370</v>
      </c>
      <c r="E84" s="99">
        <f>'Bron getallen verduurzamen'!C41</f>
        <v>4600</v>
      </c>
      <c r="F84" s="99">
        <f>'Bron getallen verduurzamen'!C42</f>
        <v>5175</v>
      </c>
      <c r="G84" s="99">
        <f>'Bron getallen verduurzamen'!C43</f>
        <v>6899.9999999999991</v>
      </c>
      <c r="H84" s="99">
        <f>'Bron getallen verduurzamen'!C44</f>
        <v>4370</v>
      </c>
      <c r="I84" s="87"/>
      <c r="J84" s="88"/>
    </row>
    <row r="85" spans="2:10" ht="20.25">
      <c r="B85" s="80"/>
      <c r="C85" s="93" t="s">
        <v>416</v>
      </c>
      <c r="D85" s="94"/>
      <c r="E85" s="94"/>
      <c r="F85" s="94"/>
      <c r="G85" s="94"/>
      <c r="H85" s="94"/>
      <c r="I85" s="87"/>
      <c r="J85" s="88"/>
    </row>
    <row r="86" spans="2:10" ht="20.25">
      <c r="B86" s="80"/>
      <c r="C86" s="74"/>
      <c r="D86" s="104" t="str">
        <f>IF(ISNUMBER(D85)=FALSE,IF(D85="","","Voer bedrag in!!"),"")</f>
        <v/>
      </c>
      <c r="E86" s="104" t="str">
        <f t="shared" ref="E86" si="23">IF(ISNUMBER(E85)=FALSE,IF(E85="","","Voer bedrag in!!"),"")</f>
        <v/>
      </c>
      <c r="F86" s="104" t="str">
        <f t="shared" ref="F86" si="24">IF(ISNUMBER(F85)=FALSE,IF(F85="","","Voer bedrag in!!"),"")</f>
        <v/>
      </c>
      <c r="G86" s="104" t="str">
        <f t="shared" ref="G86" si="25">IF(ISNUMBER(G85)=FALSE,IF(G85="","","Voer bedrag in!!"),"")</f>
        <v/>
      </c>
      <c r="H86" s="104" t="str">
        <f t="shared" ref="H86" si="26">IF(ISNUMBER(H85)=FALSE,IF(H85="","","Voer bedrag in!!"),"")</f>
        <v/>
      </c>
      <c r="I86" s="87"/>
      <c r="J86" s="88"/>
    </row>
    <row r="87" spans="2:10" ht="60.75">
      <c r="B87" s="80"/>
      <c r="C87" s="97" t="s">
        <v>427</v>
      </c>
      <c r="D87" s="90" t="s">
        <v>348</v>
      </c>
      <c r="E87" s="91" t="s">
        <v>349</v>
      </c>
      <c r="F87" s="90" t="s">
        <v>2</v>
      </c>
      <c r="G87" s="90" t="s">
        <v>350</v>
      </c>
      <c r="H87" s="90" t="s">
        <v>351</v>
      </c>
      <c r="I87" s="87"/>
      <c r="J87" s="88"/>
    </row>
    <row r="88" spans="2:10" ht="20.25">
      <c r="B88" s="80"/>
      <c r="C88" s="92" t="s">
        <v>415</v>
      </c>
      <c r="D88" s="99">
        <f>'Bron getallen verduurzamen'!C46</f>
        <v>20700</v>
      </c>
      <c r="E88" s="99">
        <f>'Bron getallen verduurzamen'!C47</f>
        <v>21850</v>
      </c>
      <c r="F88" s="99">
        <f>'Bron getallen verduurzamen'!C48</f>
        <v>25299.999999999996</v>
      </c>
      <c r="G88" s="99">
        <f>'Bron getallen verduurzamen'!C49</f>
        <v>31049.999999999996</v>
      </c>
      <c r="H88" s="99">
        <f>'Bron getallen verduurzamen'!C50</f>
        <v>20700</v>
      </c>
      <c r="I88" s="87"/>
      <c r="J88" s="88"/>
    </row>
    <row r="89" spans="2:10" ht="20.25">
      <c r="B89" s="80"/>
      <c r="C89" s="93" t="s">
        <v>416</v>
      </c>
      <c r="D89" s="94"/>
      <c r="E89" s="94"/>
      <c r="F89" s="94"/>
      <c r="G89" s="94"/>
      <c r="H89" s="94"/>
      <c r="I89" s="87"/>
      <c r="J89" s="88"/>
    </row>
    <row r="90" spans="2:10" ht="20.25">
      <c r="B90" s="80"/>
      <c r="C90" s="74"/>
      <c r="D90" s="104" t="str">
        <f>IF(ISNUMBER(D89)=FALSE,IF(D89="","","Voer bedrag in!!"),"")</f>
        <v/>
      </c>
      <c r="E90" s="104" t="str">
        <f t="shared" ref="E90" si="27">IF(ISNUMBER(E89)=FALSE,IF(E89="","","Voer bedrag in!!"),"")</f>
        <v/>
      </c>
      <c r="F90" s="104" t="str">
        <f t="shared" ref="F90" si="28">IF(ISNUMBER(F89)=FALSE,IF(F89="","","Voer bedrag in!!"),"")</f>
        <v/>
      </c>
      <c r="G90" s="104" t="str">
        <f t="shared" ref="G90" si="29">IF(ISNUMBER(G89)=FALSE,IF(G89="","","Voer bedrag in!!"),"")</f>
        <v/>
      </c>
      <c r="H90" s="104" t="str">
        <f t="shared" ref="H90" si="30">IF(ISNUMBER(H89)=FALSE,IF(H89="","","Voer bedrag in!!"),"")</f>
        <v/>
      </c>
      <c r="I90" s="87"/>
      <c r="J90" s="88"/>
    </row>
    <row r="91" spans="2:10" ht="40.5">
      <c r="B91" s="80"/>
      <c r="C91" s="97" t="s">
        <v>618</v>
      </c>
      <c r="D91" s="90" t="s">
        <v>348</v>
      </c>
      <c r="E91" s="91" t="s">
        <v>349</v>
      </c>
      <c r="F91" s="90" t="s">
        <v>2</v>
      </c>
      <c r="G91" s="90" t="s">
        <v>350</v>
      </c>
      <c r="H91" s="90" t="s">
        <v>351</v>
      </c>
      <c r="I91" s="87"/>
      <c r="J91" s="88"/>
    </row>
    <row r="92" spans="2:10" ht="20.25">
      <c r="B92" s="80"/>
      <c r="C92" s="93" t="s">
        <v>416</v>
      </c>
      <c r="D92" s="94"/>
      <c r="E92" s="94"/>
      <c r="F92" s="94"/>
      <c r="G92" s="94"/>
      <c r="H92" s="94"/>
      <c r="I92" s="87"/>
      <c r="J92" s="88"/>
    </row>
    <row r="93" spans="2:10" ht="20.25">
      <c r="B93" s="80"/>
      <c r="C93" s="87"/>
      <c r="D93" s="87"/>
      <c r="E93" s="87"/>
      <c r="F93" s="87"/>
      <c r="G93" s="87"/>
      <c r="H93" s="87"/>
      <c r="I93" s="87"/>
      <c r="J93" s="88"/>
    </row>
    <row r="94" spans="2:10">
      <c r="B94" s="80"/>
      <c r="J94" s="81"/>
    </row>
    <row r="95" spans="2:10" ht="20.25">
      <c r="B95" s="80"/>
      <c r="C95" s="96" t="s">
        <v>418</v>
      </c>
      <c r="J95" s="81"/>
    </row>
    <row r="96" spans="2:10">
      <c r="B96" s="80"/>
      <c r="C96" s="295"/>
      <c r="D96" s="296"/>
      <c r="E96" s="296"/>
      <c r="F96" s="296"/>
      <c r="G96" s="297"/>
      <c r="J96" s="81"/>
    </row>
    <row r="97" spans="2:10">
      <c r="B97" s="80"/>
      <c r="C97" s="298"/>
      <c r="D97" s="299"/>
      <c r="E97" s="299"/>
      <c r="F97" s="299"/>
      <c r="G97" s="300"/>
      <c r="J97" s="81"/>
    </row>
    <row r="98" spans="2:10">
      <c r="B98" s="80"/>
      <c r="C98" s="298"/>
      <c r="D98" s="299"/>
      <c r="E98" s="299"/>
      <c r="F98" s="299"/>
      <c r="G98" s="300"/>
      <c r="J98" s="81"/>
    </row>
    <row r="99" spans="2:10">
      <c r="B99" s="80"/>
      <c r="C99" s="298"/>
      <c r="D99" s="299"/>
      <c r="E99" s="299"/>
      <c r="F99" s="299"/>
      <c r="G99" s="300"/>
      <c r="J99" s="81"/>
    </row>
    <row r="100" spans="2:10">
      <c r="B100" s="80"/>
      <c r="C100" s="298"/>
      <c r="D100" s="299"/>
      <c r="E100" s="299"/>
      <c r="F100" s="299"/>
      <c r="G100" s="300"/>
      <c r="J100" s="81"/>
    </row>
    <row r="101" spans="2:10">
      <c r="B101" s="80"/>
      <c r="C101" s="298"/>
      <c r="D101" s="299"/>
      <c r="E101" s="299"/>
      <c r="F101" s="299"/>
      <c r="G101" s="300"/>
      <c r="J101" s="81"/>
    </row>
    <row r="102" spans="2:10">
      <c r="B102" s="80"/>
      <c r="C102" s="298"/>
      <c r="D102" s="299"/>
      <c r="E102" s="299"/>
      <c r="F102" s="299"/>
      <c r="G102" s="300"/>
      <c r="J102" s="81"/>
    </row>
    <row r="103" spans="2:10" ht="20.25">
      <c r="B103" s="80"/>
      <c r="C103" s="298"/>
      <c r="D103" s="299"/>
      <c r="E103" s="299"/>
      <c r="F103" s="299"/>
      <c r="G103" s="300"/>
      <c r="J103" s="88"/>
    </row>
    <row r="104" spans="2:10" ht="20.25">
      <c r="B104" s="80"/>
      <c r="C104" s="298"/>
      <c r="D104" s="299"/>
      <c r="E104" s="299"/>
      <c r="F104" s="299"/>
      <c r="G104" s="300"/>
      <c r="J104" s="88"/>
    </row>
    <row r="105" spans="2:10" ht="20.25">
      <c r="B105" s="80"/>
      <c r="C105" s="298"/>
      <c r="D105" s="299"/>
      <c r="E105" s="299"/>
      <c r="F105" s="299"/>
      <c r="G105" s="300"/>
      <c r="J105" s="88"/>
    </row>
    <row r="106" spans="2:10" ht="20.25">
      <c r="B106" s="80"/>
      <c r="C106" s="298"/>
      <c r="D106" s="299"/>
      <c r="E106" s="299"/>
      <c r="F106" s="299"/>
      <c r="G106" s="300"/>
      <c r="J106" s="88"/>
    </row>
    <row r="107" spans="2:10" ht="20.25">
      <c r="B107" s="80"/>
      <c r="C107" s="298"/>
      <c r="D107" s="299"/>
      <c r="E107" s="299"/>
      <c r="F107" s="299"/>
      <c r="G107" s="300"/>
      <c r="J107" s="88"/>
    </row>
    <row r="108" spans="2:10">
      <c r="B108" s="80"/>
      <c r="C108" s="298"/>
      <c r="D108" s="299"/>
      <c r="E108" s="299"/>
      <c r="F108" s="299"/>
      <c r="G108" s="300"/>
      <c r="J108" s="81"/>
    </row>
    <row r="109" spans="2:10">
      <c r="B109" s="80"/>
      <c r="C109" s="298"/>
      <c r="D109" s="299"/>
      <c r="E109" s="299"/>
      <c r="F109" s="299"/>
      <c r="G109" s="300"/>
      <c r="J109" s="81"/>
    </row>
    <row r="110" spans="2:10">
      <c r="B110" s="80"/>
      <c r="C110" s="301"/>
      <c r="D110" s="302"/>
      <c r="E110" s="302"/>
      <c r="F110" s="302"/>
      <c r="G110" s="303"/>
      <c r="J110" s="81"/>
    </row>
    <row r="111" spans="2:10">
      <c r="B111" s="80"/>
      <c r="J111" s="81"/>
    </row>
    <row r="112" spans="2:10" ht="12.75" thickBot="1">
      <c r="B112" s="82"/>
      <c r="C112" s="83"/>
      <c r="D112" s="83"/>
      <c r="E112" s="83"/>
      <c r="F112" s="83"/>
      <c r="G112" s="83"/>
      <c r="H112" s="83"/>
      <c r="I112" s="83"/>
      <c r="J112" s="84"/>
    </row>
    <row r="114" spans="2:17" ht="21" thickBot="1">
      <c r="B114" s="294" t="s">
        <v>528</v>
      </c>
      <c r="C114" s="294"/>
      <c r="D114" s="294"/>
      <c r="F114" s="87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</row>
    <row r="115" spans="2:17" ht="20.25">
      <c r="B115" s="79"/>
      <c r="C115" s="85"/>
      <c r="D115" s="85"/>
      <c r="E115" s="85"/>
      <c r="F115" s="85"/>
      <c r="G115" s="85"/>
      <c r="H115" s="85"/>
      <c r="I115" s="85"/>
      <c r="J115" s="86"/>
      <c r="K115" s="74"/>
      <c r="L115" s="74"/>
      <c r="M115" s="74"/>
      <c r="N115" s="74"/>
      <c r="O115" s="74"/>
      <c r="P115" s="74"/>
      <c r="Q115" s="74"/>
    </row>
    <row r="116" spans="2:17" ht="20.25">
      <c r="B116" s="80"/>
      <c r="C116" s="102" t="s">
        <v>429</v>
      </c>
      <c r="D116" s="90" t="s">
        <v>415</v>
      </c>
      <c r="E116" s="91" t="s">
        <v>416</v>
      </c>
      <c r="F116" s="74"/>
      <c r="G116" s="74"/>
      <c r="H116" s="74"/>
      <c r="J116" s="88"/>
      <c r="K116" s="74"/>
      <c r="L116" s="74"/>
      <c r="M116" s="74"/>
      <c r="N116" s="74"/>
      <c r="O116" s="74"/>
      <c r="P116" s="74"/>
    </row>
    <row r="117" spans="2:17" ht="20.25">
      <c r="B117" s="80"/>
      <c r="C117" s="92" t="s">
        <v>527</v>
      </c>
      <c r="D117" s="100" t="e">
        <f>VLOOKUP(START!$D$8,'Bron getallen woningverbeteren'!$B$2:$K$5,5,FALSE)</f>
        <v>#N/A</v>
      </c>
      <c r="E117" s="94"/>
      <c r="F117" s="74"/>
      <c r="G117" s="74"/>
      <c r="H117" s="74"/>
      <c r="J117" s="88"/>
      <c r="K117" s="74"/>
      <c r="L117" s="74"/>
      <c r="M117" s="74"/>
      <c r="N117" s="74"/>
      <c r="O117" s="74"/>
      <c r="P117" s="74"/>
    </row>
    <row r="118" spans="2:17" ht="20.25">
      <c r="B118" s="80"/>
      <c r="C118" s="92" t="s">
        <v>375</v>
      </c>
      <c r="D118" s="100" t="e">
        <f>VLOOKUP(START!$D$8,'Bron getallen woningverbeteren'!$B$2:$K$5,6,FALSE)</f>
        <v>#N/A</v>
      </c>
      <c r="E118" s="94"/>
      <c r="F118" s="104" t="str">
        <f>IF(ISNUMBER(E123)=FALSE,IF(E123="","","Voer bedrag in!!"),"")</f>
        <v/>
      </c>
      <c r="G118" s="74"/>
      <c r="H118" s="74"/>
      <c r="J118" s="88"/>
      <c r="K118" s="74"/>
      <c r="L118" s="74"/>
      <c r="M118" s="74"/>
      <c r="N118" s="74"/>
      <c r="O118" s="74"/>
      <c r="P118" s="74"/>
    </row>
    <row r="119" spans="2:17" ht="20.25">
      <c r="B119" s="80"/>
      <c r="C119" s="92" t="s">
        <v>378</v>
      </c>
      <c r="D119" s="100" t="e">
        <f>VLOOKUP(START!$D$8,'Bron getallen woningverbeteren'!$B$2:$K$5,9,FALSE)</f>
        <v>#N/A</v>
      </c>
      <c r="E119" s="94"/>
      <c r="F119" s="104" t="str">
        <f>IF(ISNUMBER(E121)=FALSE,IF(E121="","","Voer bedrag in!!"),"")</f>
        <v/>
      </c>
      <c r="G119" s="74"/>
      <c r="H119" s="74"/>
      <c r="J119" s="88"/>
      <c r="K119" s="74"/>
      <c r="L119" s="74"/>
      <c r="M119" s="74"/>
      <c r="N119" s="74"/>
      <c r="O119" s="74"/>
      <c r="P119" s="74"/>
    </row>
    <row r="120" spans="2:17" ht="20.25">
      <c r="B120" s="80"/>
      <c r="C120" s="92" t="s">
        <v>377</v>
      </c>
      <c r="D120" s="100" t="e">
        <f>VLOOKUP(START!$D$8,'Bron getallen woningverbeteren'!$B$2:$K$5,10,FALSE)</f>
        <v>#N/A</v>
      </c>
      <c r="E120" s="94"/>
      <c r="F120" s="104" t="str">
        <f>IF(ISNUMBER(E117)=FALSE,IF(E117="","","Voer bedrag in!!"),"")</f>
        <v/>
      </c>
      <c r="G120" s="74"/>
      <c r="H120" s="74"/>
      <c r="J120" s="88"/>
      <c r="K120" s="74"/>
      <c r="L120" s="74"/>
      <c r="M120" s="74"/>
      <c r="N120" s="74"/>
      <c r="O120" s="74"/>
      <c r="P120" s="74"/>
    </row>
    <row r="121" spans="2:17" ht="20.25">
      <c r="B121" s="80"/>
      <c r="C121" s="92" t="s">
        <v>373</v>
      </c>
      <c r="D121" s="100" t="e">
        <f>VLOOKUP(START!$D$8,'Bron getallen woningverbeteren'!$B$2:$K$5,4,FALSE)</f>
        <v>#N/A</v>
      </c>
      <c r="E121" s="94"/>
      <c r="F121" s="104" t="str">
        <f>IF(ISNUMBER(E118)=FALSE,IF(E118="","","Voer bedrag in!!"),"")</f>
        <v/>
      </c>
      <c r="G121" s="74"/>
      <c r="H121" s="74"/>
      <c r="J121" s="88"/>
      <c r="K121" s="74"/>
      <c r="L121" s="74"/>
      <c r="M121" s="74"/>
      <c r="N121" s="74"/>
      <c r="O121" s="74"/>
    </row>
    <row r="122" spans="2:17" ht="65.25" customHeight="1">
      <c r="B122" s="80"/>
      <c r="C122" s="92" t="s">
        <v>371</v>
      </c>
      <c r="D122" s="206" t="s">
        <v>526</v>
      </c>
      <c r="E122" s="207"/>
      <c r="F122" s="104"/>
      <c r="G122" s="74"/>
      <c r="H122" s="74"/>
      <c r="J122" s="88"/>
      <c r="K122" s="74"/>
      <c r="L122" s="74"/>
      <c r="M122" s="74"/>
      <c r="N122" s="74"/>
      <c r="O122" s="74"/>
    </row>
    <row r="123" spans="2:17" ht="50.25" customHeight="1">
      <c r="B123" s="80"/>
      <c r="C123" s="92" t="s">
        <v>372</v>
      </c>
      <c r="D123" s="206" t="s">
        <v>526</v>
      </c>
      <c r="E123" s="207"/>
      <c r="F123" s="104" t="str">
        <f>IF(ISNUMBER(E124)=FALSE,IF(E124="","","Voer bedrag in!!"),"")</f>
        <v/>
      </c>
      <c r="G123" s="74"/>
      <c r="H123" s="74"/>
      <c r="J123" s="88"/>
      <c r="K123" s="74"/>
      <c r="L123" s="74"/>
      <c r="M123" s="74"/>
      <c r="N123" s="74"/>
      <c r="O123" s="74"/>
      <c r="P123" s="74"/>
    </row>
    <row r="124" spans="2:17" ht="40.5">
      <c r="B124" s="80"/>
      <c r="C124" s="92" t="s">
        <v>345</v>
      </c>
      <c r="D124" s="206" t="s">
        <v>526</v>
      </c>
      <c r="E124" s="207"/>
      <c r="F124" s="104" t="str">
        <f>IF(ISNUMBER(E119)=FALSE,IF(E119="","","Voer bedrag in!!"),"")</f>
        <v/>
      </c>
      <c r="G124" s="74"/>
      <c r="H124" s="74"/>
      <c r="J124" s="88"/>
      <c r="K124" s="74"/>
      <c r="L124" s="74"/>
      <c r="M124" s="74"/>
      <c r="N124" s="74"/>
      <c r="O124" s="74"/>
      <c r="P124" s="74"/>
    </row>
    <row r="125" spans="2:17" ht="20.25">
      <c r="B125" s="80"/>
      <c r="F125" s="104" t="str">
        <f>IF(ISNUMBER(E120)=FALSE,IF(E120="","","Voer bedrag in!!"),"")</f>
        <v/>
      </c>
      <c r="G125" s="74"/>
      <c r="H125" s="74"/>
      <c r="J125" s="88"/>
      <c r="K125" s="74"/>
      <c r="L125" s="74"/>
      <c r="M125" s="74"/>
      <c r="N125" s="74"/>
      <c r="O125" s="74"/>
      <c r="P125" s="74"/>
    </row>
    <row r="126" spans="2:17" ht="20.25">
      <c r="B126" s="80"/>
      <c r="C126" s="74"/>
      <c r="D126" s="74"/>
      <c r="E126" s="74"/>
      <c r="F126" s="74"/>
      <c r="G126" s="74"/>
      <c r="H126" s="74"/>
      <c r="J126" s="88"/>
      <c r="K126" s="74"/>
      <c r="L126" s="74"/>
      <c r="M126" s="74"/>
      <c r="N126" s="74"/>
      <c r="O126" s="74"/>
      <c r="P126" s="74"/>
    </row>
    <row r="127" spans="2:17" ht="20.25">
      <c r="B127" s="80"/>
      <c r="C127" s="96" t="s">
        <v>418</v>
      </c>
      <c r="J127" s="88"/>
      <c r="K127" s="74"/>
      <c r="L127" s="74"/>
      <c r="M127" s="74"/>
      <c r="N127" s="74"/>
      <c r="O127" s="74"/>
      <c r="P127" s="74"/>
    </row>
    <row r="128" spans="2:17" ht="20.25">
      <c r="B128" s="80"/>
      <c r="C128" s="295"/>
      <c r="D128" s="296"/>
      <c r="E128" s="296"/>
      <c r="F128" s="296"/>
      <c r="G128" s="297"/>
      <c r="J128" s="88"/>
      <c r="K128" s="74"/>
      <c r="L128" s="74"/>
      <c r="M128" s="74"/>
      <c r="N128" s="74"/>
      <c r="O128" s="74"/>
      <c r="P128" s="74"/>
    </row>
    <row r="129" spans="2:16" ht="20.25">
      <c r="B129" s="80"/>
      <c r="C129" s="298"/>
      <c r="D129" s="299"/>
      <c r="E129" s="299"/>
      <c r="F129" s="299"/>
      <c r="G129" s="300"/>
      <c r="J129" s="88"/>
      <c r="K129" s="74"/>
      <c r="L129" s="74"/>
      <c r="M129" s="74"/>
      <c r="N129" s="74"/>
      <c r="O129" s="74"/>
      <c r="P129" s="74"/>
    </row>
    <row r="130" spans="2:16" ht="20.25">
      <c r="B130" s="80"/>
      <c r="C130" s="298"/>
      <c r="D130" s="299"/>
      <c r="E130" s="299"/>
      <c r="F130" s="299"/>
      <c r="G130" s="300"/>
      <c r="J130" s="88"/>
      <c r="K130" s="74"/>
      <c r="L130" s="74"/>
      <c r="M130" s="74"/>
      <c r="N130" s="74"/>
      <c r="O130" s="74"/>
      <c r="P130" s="74"/>
    </row>
    <row r="131" spans="2:16" ht="20.25">
      <c r="B131" s="80"/>
      <c r="C131" s="298"/>
      <c r="D131" s="299"/>
      <c r="E131" s="299"/>
      <c r="F131" s="299"/>
      <c r="G131" s="300"/>
      <c r="J131" s="88"/>
      <c r="K131" s="74"/>
      <c r="L131" s="74"/>
      <c r="M131" s="74"/>
      <c r="N131" s="74"/>
      <c r="O131" s="74"/>
      <c r="P131" s="74"/>
    </row>
    <row r="132" spans="2:16" ht="20.25">
      <c r="B132" s="80"/>
      <c r="C132" s="298"/>
      <c r="D132" s="299"/>
      <c r="E132" s="299"/>
      <c r="F132" s="299"/>
      <c r="G132" s="300"/>
      <c r="J132" s="88"/>
      <c r="K132" s="74"/>
      <c r="L132" s="74"/>
      <c r="M132" s="74"/>
      <c r="N132" s="74"/>
      <c r="O132" s="74"/>
      <c r="P132" s="74"/>
    </row>
    <row r="133" spans="2:16" ht="20.25">
      <c r="B133" s="80"/>
      <c r="C133" s="298"/>
      <c r="D133" s="299"/>
      <c r="E133" s="299"/>
      <c r="F133" s="299"/>
      <c r="G133" s="300"/>
      <c r="J133" s="88"/>
      <c r="K133" s="74"/>
      <c r="L133" s="74"/>
      <c r="M133" s="74"/>
      <c r="N133" s="74"/>
      <c r="O133" s="74"/>
      <c r="P133" s="74"/>
    </row>
    <row r="134" spans="2:16" ht="20.25">
      <c r="B134" s="80"/>
      <c r="C134" s="298"/>
      <c r="D134" s="299"/>
      <c r="E134" s="299"/>
      <c r="F134" s="299"/>
      <c r="G134" s="300"/>
      <c r="J134" s="88"/>
      <c r="K134" s="74"/>
      <c r="L134" s="74"/>
      <c r="M134" s="74"/>
      <c r="N134" s="74"/>
      <c r="O134" s="74"/>
      <c r="P134" s="74"/>
    </row>
    <row r="135" spans="2:16" ht="20.25">
      <c r="B135" s="80"/>
      <c r="C135" s="298"/>
      <c r="D135" s="299"/>
      <c r="E135" s="299"/>
      <c r="F135" s="299"/>
      <c r="G135" s="300"/>
      <c r="J135" s="88"/>
      <c r="K135" s="74"/>
      <c r="L135" s="74"/>
      <c r="M135" s="74"/>
      <c r="N135" s="74"/>
      <c r="O135" s="74"/>
      <c r="P135" s="74"/>
    </row>
    <row r="136" spans="2:16" ht="20.25">
      <c r="B136" s="80"/>
      <c r="C136" s="298"/>
      <c r="D136" s="299"/>
      <c r="E136" s="299"/>
      <c r="F136" s="299"/>
      <c r="G136" s="300"/>
      <c r="J136" s="88"/>
      <c r="K136" s="74"/>
      <c r="L136" s="74"/>
      <c r="M136" s="74"/>
      <c r="N136" s="74"/>
      <c r="O136" s="74"/>
      <c r="P136" s="74"/>
    </row>
    <row r="137" spans="2:16" ht="20.25">
      <c r="B137" s="80"/>
      <c r="C137" s="298"/>
      <c r="D137" s="299"/>
      <c r="E137" s="299"/>
      <c r="F137" s="299"/>
      <c r="G137" s="300"/>
      <c r="J137" s="88"/>
      <c r="K137" s="74"/>
      <c r="L137" s="74"/>
      <c r="M137" s="74"/>
      <c r="N137" s="74"/>
      <c r="O137" s="74"/>
      <c r="P137" s="74"/>
    </row>
    <row r="138" spans="2:16" ht="20.25">
      <c r="B138" s="80"/>
      <c r="C138" s="298"/>
      <c r="D138" s="299"/>
      <c r="E138" s="299"/>
      <c r="F138" s="299"/>
      <c r="G138" s="300"/>
      <c r="J138" s="88"/>
      <c r="K138" s="74"/>
      <c r="L138" s="74"/>
      <c r="M138" s="74"/>
      <c r="N138" s="74"/>
      <c r="O138" s="74"/>
      <c r="P138" s="74"/>
    </row>
    <row r="139" spans="2:16" ht="20.25">
      <c r="B139" s="80"/>
      <c r="C139" s="298"/>
      <c r="D139" s="299"/>
      <c r="E139" s="299"/>
      <c r="F139" s="299"/>
      <c r="G139" s="300"/>
      <c r="J139" s="88"/>
      <c r="K139" s="74"/>
      <c r="L139" s="74"/>
      <c r="M139" s="74"/>
      <c r="N139" s="74"/>
      <c r="O139" s="74"/>
      <c r="P139" s="74"/>
    </row>
    <row r="140" spans="2:16" ht="20.25">
      <c r="B140" s="80"/>
      <c r="C140" s="298"/>
      <c r="D140" s="299"/>
      <c r="E140" s="299"/>
      <c r="F140" s="299"/>
      <c r="G140" s="300"/>
      <c r="J140" s="88"/>
      <c r="K140" s="74"/>
      <c r="L140" s="74"/>
      <c r="M140" s="74"/>
      <c r="N140" s="74"/>
      <c r="O140" s="74"/>
      <c r="P140" s="74"/>
    </row>
    <row r="141" spans="2:16" ht="20.25">
      <c r="B141" s="80"/>
      <c r="C141" s="298"/>
      <c r="D141" s="299"/>
      <c r="E141" s="299"/>
      <c r="F141" s="299"/>
      <c r="G141" s="300"/>
      <c r="J141" s="88"/>
      <c r="K141" s="74"/>
      <c r="L141" s="74"/>
      <c r="M141" s="74"/>
      <c r="N141" s="74"/>
      <c r="O141" s="74"/>
      <c r="P141" s="74"/>
    </row>
    <row r="142" spans="2:16" ht="20.25">
      <c r="B142" s="80"/>
      <c r="C142" s="301"/>
      <c r="D142" s="302"/>
      <c r="E142" s="302"/>
      <c r="F142" s="302"/>
      <c r="G142" s="303"/>
      <c r="J142" s="88"/>
      <c r="K142" s="74"/>
      <c r="L142" s="74"/>
      <c r="M142" s="74"/>
      <c r="N142" s="74"/>
      <c r="O142" s="74"/>
      <c r="P142" s="74"/>
    </row>
    <row r="143" spans="2:16" ht="20.25">
      <c r="B143" s="80"/>
      <c r="J143" s="88"/>
      <c r="K143" s="74"/>
      <c r="L143" s="74"/>
      <c r="M143" s="74"/>
      <c r="N143" s="74"/>
      <c r="O143" s="74"/>
      <c r="P143" s="74"/>
    </row>
    <row r="144" spans="2:16" ht="21" thickBot="1">
      <c r="B144" s="82"/>
      <c r="C144" s="83"/>
      <c r="D144" s="83"/>
      <c r="E144" s="83"/>
      <c r="F144" s="83"/>
      <c r="G144" s="83"/>
      <c r="H144" s="83"/>
      <c r="I144" s="83"/>
      <c r="J144" s="84"/>
      <c r="K144" s="74"/>
      <c r="L144" s="74"/>
      <c r="M144" s="74"/>
      <c r="N144" s="74"/>
      <c r="O144" s="74"/>
      <c r="P144" s="74"/>
    </row>
    <row r="145" spans="1:17" ht="20.25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</row>
    <row r="146" spans="1:17" ht="20.25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</row>
    <row r="147" spans="1:17" ht="20.25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</row>
    <row r="148" spans="1:17" ht="20.25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</row>
    <row r="149" spans="1:17" ht="20.25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</row>
    <row r="150" spans="1:17" ht="20.25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</row>
    <row r="151" spans="1:17" ht="20.25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</row>
    <row r="152" spans="1:17" ht="20.25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</row>
    <row r="153" spans="1:17" ht="20.25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</row>
    <row r="154" spans="1:17" ht="20.25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</row>
    <row r="155" spans="1:17" ht="20.25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</row>
    <row r="156" spans="1:17" ht="20.25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</row>
    <row r="157" spans="1:17" ht="20.25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</row>
    <row r="158" spans="1:17" ht="20.25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</row>
    <row r="159" spans="1:17" ht="20.25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</row>
    <row r="160" spans="1:17" ht="20.25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</row>
    <row r="161" spans="1:17" ht="20.25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</row>
    <row r="162" spans="1:17" ht="20.25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</row>
    <row r="163" spans="1:17" ht="20.25"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</row>
    <row r="164" spans="1:17" ht="20.25"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</row>
    <row r="165" spans="1:17" ht="20.25"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</row>
    <row r="166" spans="1:17" ht="20.25"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</row>
    <row r="167" spans="1:17" ht="20.25"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</row>
    <row r="168" spans="1:17" ht="20.25"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</row>
    <row r="169" spans="1:17" ht="20.25"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</row>
    <row r="170" spans="1:17" ht="20.25"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</row>
    <row r="171" spans="1:17" ht="20.25"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</row>
    <row r="172" spans="1:17" ht="20.25"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</row>
    <row r="173" spans="1:17" ht="20.25"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</row>
    <row r="174" spans="1:17" ht="20.25"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</row>
    <row r="175" spans="1:17" ht="20.25"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</row>
    <row r="176" spans="1:17" ht="20.25"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</row>
    <row r="177" spans="2:17" ht="20.25"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</row>
    <row r="178" spans="2:17" ht="20.25"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</row>
    <row r="179" spans="2:17" ht="20.25"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</row>
    <row r="180" spans="2:17" ht="20.25"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</row>
    <row r="181" spans="2:17" ht="20.25"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</row>
    <row r="182" spans="2:17" ht="20.25"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</row>
  </sheetData>
  <sheetProtection algorithmName="SHA-512" hashValue="QBh+ucImX7FM/fIViS8udi3FwMsGrO2lWKqWF8fU1WB0m9xbhCrOP/kDuuxajcq5ECrU3XSQ7a7UqIKEtn99Xg==" saltValue="HCCd+tk6P91rbqdNr9L5rA==" spinCount="100000" sheet="1" sort="0"/>
  <protectedRanges>
    <protectedRange sqref="D32:I32 D36:I36 C39:G53 D61:H61 D65:H65 D69:H69 D73:H73 D77:H77 D81:H81 D85:H85 D89:H89 C96:G110 E117:E121 C128:G142 D92:H93" name="Afwijkende kengetallen"/>
    <protectedRange sqref="R29:S29" name="Invullen sloopnieuwbouw"/>
  </protectedRanges>
  <mergeCells count="9">
    <mergeCell ref="P28:X32"/>
    <mergeCell ref="B114:D114"/>
    <mergeCell ref="C128:G142"/>
    <mergeCell ref="C4:H18"/>
    <mergeCell ref="C39:G53"/>
    <mergeCell ref="B57:D57"/>
    <mergeCell ref="C96:G110"/>
    <mergeCell ref="B28:D28"/>
    <mergeCell ref="C21:H26"/>
  </mergeCells>
  <pageMargins left="0.7" right="0.7" top="0.75" bottom="0.75" header="0.3" footer="0.3"/>
  <pageSetup paperSize="9" orientation="portrait" r:id="rId1"/>
  <headerFooter>
    <oddFooter>&amp;L_x000D_&amp;1#&amp;"Calibri"&amp;10&amp;K000000 Intern gebruik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3C61E-04E6-47D7-B5F9-C5D70B92A725}">
  <sheetPr codeName="Blad5">
    <tabColor theme="7" tint="0.79998168889431442"/>
  </sheetPr>
  <dimension ref="A1:AA111"/>
  <sheetViews>
    <sheetView zoomScale="50" zoomScaleNormal="50" workbookViewId="0">
      <selection activeCell="C21" sqref="C21:Q26"/>
    </sheetView>
  </sheetViews>
  <sheetFormatPr defaultColWidth="8.85546875" defaultRowHeight="30" customHeight="1"/>
  <cols>
    <col min="1" max="2" width="8.85546875" style="1"/>
    <col min="3" max="3" width="99.42578125" style="1" bestFit="1" customWidth="1"/>
    <col min="4" max="4" width="55.140625" style="1" customWidth="1"/>
    <col min="5" max="5" width="44.42578125" style="1" customWidth="1"/>
    <col min="6" max="6" width="31.42578125" style="1" bestFit="1" customWidth="1"/>
    <col min="7" max="7" width="33.28515625" style="1" customWidth="1"/>
    <col min="8" max="8" width="40.140625" style="1" customWidth="1"/>
    <col min="9" max="9" width="40.28515625" style="1" customWidth="1"/>
    <col min="10" max="10" width="37.28515625" style="1" customWidth="1"/>
    <col min="11" max="11" width="30.7109375" style="1" customWidth="1"/>
    <col min="12" max="12" width="29" style="1" bestFit="1" customWidth="1"/>
    <col min="13" max="13" width="29.5703125" style="1" customWidth="1"/>
    <col min="14" max="14" width="27" style="1" bestFit="1" customWidth="1"/>
    <col min="15" max="15" width="30.7109375" style="1" customWidth="1"/>
    <col min="16" max="16" width="33.5703125" style="1" customWidth="1"/>
    <col min="17" max="17" width="23" style="1" customWidth="1"/>
    <col min="18" max="18" width="23.28515625" style="1" bestFit="1" customWidth="1"/>
    <col min="19" max="19" width="18.140625" style="1" bestFit="1" customWidth="1"/>
    <col min="20" max="20" width="33" style="1" bestFit="1" customWidth="1"/>
    <col min="21" max="21" width="21.85546875" style="1" bestFit="1" customWidth="1"/>
    <col min="22" max="22" width="23.5703125" style="1" bestFit="1" customWidth="1"/>
    <col min="23" max="23" width="19.5703125" style="1" customWidth="1"/>
    <col min="24" max="24" width="23" style="1" customWidth="1"/>
    <col min="25" max="25" width="40" style="1" customWidth="1"/>
    <col min="26" max="26" width="40.42578125" style="1" customWidth="1"/>
    <col min="27" max="27" width="17.28515625" style="1" customWidth="1"/>
    <col min="28" max="28" width="31.140625" style="1" customWidth="1"/>
    <col min="29" max="29" width="33.140625" style="1" customWidth="1"/>
    <col min="30" max="30" width="21" style="1" customWidth="1"/>
    <col min="31" max="31" width="43.85546875" style="1" bestFit="1" customWidth="1"/>
    <col min="32" max="35" width="20.7109375" style="1" bestFit="1" customWidth="1"/>
    <col min="36" max="36" width="18.7109375" style="1" bestFit="1" customWidth="1"/>
    <col min="37" max="37" width="31" style="1" customWidth="1"/>
    <col min="38" max="38" width="22.42578125" style="1" bestFit="1" customWidth="1"/>
    <col min="39" max="16384" width="8.85546875" style="1"/>
  </cols>
  <sheetData>
    <row r="1" spans="1:27" ht="30" customHeight="1">
      <c r="A1" s="4" t="s">
        <v>431</v>
      </c>
      <c r="B1" s="6"/>
      <c r="H1" s="5"/>
      <c r="I1" s="5"/>
      <c r="J1" s="5"/>
      <c r="AA1" s="4" t="s">
        <v>409</v>
      </c>
    </row>
    <row r="2" spans="1:27" ht="30" customHeight="1">
      <c r="H2" s="5"/>
      <c r="I2" s="5"/>
      <c r="J2" s="5"/>
      <c r="K2" s="5"/>
      <c r="L2" s="5"/>
      <c r="M2" s="5"/>
      <c r="N2" s="5"/>
      <c r="O2" s="5"/>
      <c r="P2" s="5"/>
      <c r="AA2" s="4" t="s">
        <v>389</v>
      </c>
    </row>
    <row r="3" spans="1:27" ht="30" customHeight="1">
      <c r="I3" s="5"/>
      <c r="J3" s="5"/>
      <c r="K3" s="5"/>
      <c r="L3" s="5"/>
      <c r="N3" s="5"/>
      <c r="O3" s="5"/>
      <c r="P3" s="5"/>
      <c r="AA3" s="4" t="s">
        <v>390</v>
      </c>
    </row>
    <row r="4" spans="1:27" ht="30" customHeight="1">
      <c r="E4" s="6"/>
      <c r="I4" s="39" t="s">
        <v>398</v>
      </c>
      <c r="J4" s="5"/>
      <c r="K4" s="5"/>
      <c r="L4" s="5"/>
      <c r="M4" s="5"/>
      <c r="N4" s="5"/>
      <c r="O4" s="5"/>
      <c r="P4" s="5"/>
    </row>
    <row r="5" spans="1:27" ht="30" customHeight="1">
      <c r="B5" s="347">
        <v>1</v>
      </c>
      <c r="C5" s="250" t="s">
        <v>578</v>
      </c>
      <c r="I5" s="40" t="s">
        <v>397</v>
      </c>
    </row>
    <row r="6" spans="1:27" ht="66.75" customHeight="1">
      <c r="B6" s="348"/>
      <c r="C6" s="124"/>
      <c r="I6" s="41" t="s">
        <v>399</v>
      </c>
    </row>
    <row r="7" spans="1:27" ht="12">
      <c r="AA7" s="8"/>
    </row>
    <row r="8" spans="1:27" ht="44.1" customHeight="1">
      <c r="C8" s="361" t="s">
        <v>540</v>
      </c>
      <c r="AA8" s="8"/>
    </row>
    <row r="9" spans="1:27" ht="44.1" customHeight="1">
      <c r="B9" s="347">
        <v>2</v>
      </c>
      <c r="C9" s="362"/>
      <c r="D9" s="350" t="s">
        <v>579</v>
      </c>
      <c r="E9" s="352" t="s">
        <v>418</v>
      </c>
      <c r="F9" s="353"/>
      <c r="G9" s="354"/>
      <c r="AA9" s="8"/>
    </row>
    <row r="10" spans="1:27" ht="44.1" customHeight="1">
      <c r="B10" s="349"/>
      <c r="C10" s="222" t="s">
        <v>483</v>
      </c>
      <c r="D10" s="351"/>
      <c r="E10" s="355"/>
      <c r="F10" s="356"/>
      <c r="G10" s="357"/>
      <c r="AA10" s="8"/>
    </row>
    <row r="11" spans="1:27" ht="88.5" customHeight="1">
      <c r="B11" s="349"/>
      <c r="C11" s="195" t="s">
        <v>481</v>
      </c>
      <c r="D11" s="251"/>
      <c r="E11" s="358"/>
      <c r="F11" s="359"/>
      <c r="G11" s="360"/>
      <c r="AA11" s="8"/>
    </row>
    <row r="12" spans="1:27" ht="76.5" customHeight="1">
      <c r="B12" s="349"/>
      <c r="C12" s="196" t="s">
        <v>482</v>
      </c>
      <c r="D12" s="251"/>
      <c r="E12" s="358"/>
      <c r="F12" s="359"/>
      <c r="G12" s="360"/>
      <c r="AA12" s="8"/>
    </row>
    <row r="13" spans="1:27" ht="89.25" customHeight="1">
      <c r="AA13" s="8"/>
    </row>
    <row r="14" spans="1:27" ht="12">
      <c r="AA14" s="8"/>
    </row>
    <row r="15" spans="1:27" ht="44.1" customHeight="1">
      <c r="C15" s="361" t="s">
        <v>538</v>
      </c>
      <c r="I15" s="346" t="s">
        <v>570</v>
      </c>
      <c r="J15" s="346"/>
      <c r="K15" s="346"/>
      <c r="AA15" s="8"/>
    </row>
    <row r="16" spans="1:27" ht="44.25" customHeight="1">
      <c r="B16" s="347">
        <v>3</v>
      </c>
      <c r="C16" s="362"/>
      <c r="D16" s="365" t="s">
        <v>485</v>
      </c>
      <c r="E16" s="365"/>
      <c r="F16" s="365"/>
      <c r="G16" s="365"/>
      <c r="H16" s="365"/>
      <c r="I16" s="365"/>
      <c r="J16" s="366"/>
      <c r="K16" s="343" t="s">
        <v>387</v>
      </c>
      <c r="L16" s="344"/>
      <c r="M16" s="344"/>
      <c r="N16" s="344"/>
      <c r="O16" s="344"/>
      <c r="P16" s="344"/>
      <c r="Q16" s="345"/>
    </row>
    <row r="17" spans="2:22" ht="52.5" customHeight="1">
      <c r="B17" s="349"/>
      <c r="C17" s="222" t="s">
        <v>483</v>
      </c>
      <c r="D17" s="188" t="s">
        <v>0</v>
      </c>
      <c r="E17" s="71" t="s">
        <v>2</v>
      </c>
      <c r="F17" s="71" t="s">
        <v>1</v>
      </c>
      <c r="G17" s="71" t="s">
        <v>385</v>
      </c>
      <c r="H17" s="71" t="s">
        <v>386</v>
      </c>
      <c r="I17" s="71" t="s">
        <v>583</v>
      </c>
      <c r="J17" s="71" t="s">
        <v>569</v>
      </c>
      <c r="K17" s="188" t="s">
        <v>0</v>
      </c>
      <c r="L17" s="71" t="s">
        <v>2</v>
      </c>
      <c r="M17" s="71" t="s">
        <v>1</v>
      </c>
      <c r="N17" s="71" t="s">
        <v>385</v>
      </c>
      <c r="O17" s="71" t="s">
        <v>386</v>
      </c>
      <c r="P17" s="71" t="s">
        <v>583</v>
      </c>
      <c r="Q17" s="71" t="s">
        <v>569</v>
      </c>
    </row>
    <row r="18" spans="2:22" ht="51.75" customHeight="1">
      <c r="B18" s="349"/>
      <c r="C18" s="186" t="s">
        <v>481</v>
      </c>
      <c r="D18" s="128"/>
      <c r="E18" s="129"/>
      <c r="F18" s="129"/>
      <c r="G18" s="129"/>
      <c r="H18" s="129"/>
      <c r="I18" s="130"/>
      <c r="J18" s="131">
        <f>IF(C18="","",SUM(D18:I18))</f>
        <v>0</v>
      </c>
      <c r="K18" s="25"/>
      <c r="L18" s="26"/>
      <c r="M18" s="26"/>
      <c r="N18" s="26"/>
      <c r="O18" s="26"/>
      <c r="P18" s="26"/>
      <c r="Q18" s="131">
        <f>D18*K18+E18*L18+F18*M18+G18*N18+H18*O18+I18*P18</f>
        <v>0</v>
      </c>
    </row>
    <row r="19" spans="2:22" ht="51.75" customHeight="1">
      <c r="B19" s="349"/>
      <c r="C19" s="187" t="s">
        <v>482</v>
      </c>
      <c r="D19" s="128"/>
      <c r="E19" s="129"/>
      <c r="F19" s="129"/>
      <c r="G19" s="129"/>
      <c r="H19" s="129"/>
      <c r="I19" s="130"/>
      <c r="J19" s="131">
        <f>IF(C19="","",SUM(D19:I19))</f>
        <v>0</v>
      </c>
      <c r="K19" s="185"/>
      <c r="L19" s="184"/>
      <c r="M19" s="184"/>
      <c r="N19" s="184"/>
      <c r="O19" s="184"/>
      <c r="P19" s="184"/>
      <c r="Q19" s="131">
        <f>D19*K19+E19*L19+F19*M19+G19*N19+H19*O19+I19*P19</f>
        <v>0</v>
      </c>
    </row>
    <row r="20" spans="2:22" ht="51.75" customHeight="1" thickBot="1"/>
    <row r="21" spans="2:22" ht="48" customHeight="1" thickBot="1">
      <c r="D21" s="103"/>
      <c r="E21" s="103"/>
      <c r="F21" s="103"/>
      <c r="G21" s="103"/>
      <c r="H21" s="103"/>
      <c r="I21" s="103"/>
      <c r="J21" s="235">
        <f>SUM(J18:J19)</f>
        <v>0</v>
      </c>
      <c r="Q21" s="235">
        <f>SUM(Q18:Q19)</f>
        <v>0</v>
      </c>
    </row>
    <row r="22" spans="2:22" ht="48" customHeight="1">
      <c r="C22" s="361" t="s">
        <v>539</v>
      </c>
      <c r="D22" s="103"/>
      <c r="E22" s="103"/>
      <c r="F22" s="103"/>
      <c r="G22" s="103"/>
      <c r="H22" s="103"/>
      <c r="I22" s="346" t="s">
        <v>570</v>
      </c>
      <c r="J22" s="346"/>
      <c r="K22" s="346"/>
    </row>
    <row r="23" spans="2:22" ht="51.75" customHeight="1">
      <c r="B23" s="347">
        <v>4</v>
      </c>
      <c r="C23" s="362"/>
      <c r="D23" s="367" t="s">
        <v>486</v>
      </c>
      <c r="E23" s="365"/>
      <c r="F23" s="365"/>
      <c r="G23" s="365"/>
      <c r="H23" s="365"/>
      <c r="I23" s="365"/>
      <c r="J23" s="366"/>
      <c r="K23" s="343" t="s">
        <v>388</v>
      </c>
      <c r="L23" s="344"/>
      <c r="M23" s="344"/>
      <c r="N23" s="344"/>
      <c r="O23" s="344"/>
      <c r="P23" s="344"/>
      <c r="Q23" s="345"/>
    </row>
    <row r="24" spans="2:22" ht="66.75" customHeight="1">
      <c r="B24" s="349"/>
      <c r="C24" s="222" t="s">
        <v>483</v>
      </c>
      <c r="D24" s="71" t="s">
        <v>0</v>
      </c>
      <c r="E24" s="71" t="s">
        <v>2</v>
      </c>
      <c r="F24" s="71" t="s">
        <v>1</v>
      </c>
      <c r="G24" s="71" t="s">
        <v>385</v>
      </c>
      <c r="H24" s="71" t="s">
        <v>386</v>
      </c>
      <c r="I24" s="71" t="s">
        <v>583</v>
      </c>
      <c r="J24" s="71" t="s">
        <v>484</v>
      </c>
      <c r="K24" s="71" t="s">
        <v>0</v>
      </c>
      <c r="L24" s="71" t="s">
        <v>2</v>
      </c>
      <c r="M24" s="71" t="s">
        <v>1</v>
      </c>
      <c r="N24" s="71" t="s">
        <v>385</v>
      </c>
      <c r="O24" s="71" t="s">
        <v>386</v>
      </c>
      <c r="P24" s="71" t="s">
        <v>583</v>
      </c>
      <c r="Q24" s="71" t="s">
        <v>484</v>
      </c>
    </row>
    <row r="25" spans="2:22" ht="51.75" customHeight="1">
      <c r="B25" s="349"/>
      <c r="C25" s="186" t="s">
        <v>481</v>
      </c>
      <c r="D25" s="129"/>
      <c r="E25" s="129"/>
      <c r="F25" s="129"/>
      <c r="G25" s="129"/>
      <c r="H25" s="129"/>
      <c r="I25" s="130"/>
      <c r="J25" s="131">
        <f>IF(C25="","",SUM(D25:I25))</f>
        <v>0</v>
      </c>
      <c r="K25" s="26"/>
      <c r="L25" s="26"/>
      <c r="M25" s="26"/>
      <c r="N25" s="26"/>
      <c r="O25" s="26"/>
      <c r="P25" s="72"/>
      <c r="Q25" s="131">
        <f>D25*K25+E25*L25+F25*M25+G25*N25+H25*O25+I25*P25</f>
        <v>0</v>
      </c>
    </row>
    <row r="26" spans="2:22" ht="51.75" customHeight="1">
      <c r="B26" s="348"/>
      <c r="C26" s="187" t="s">
        <v>482</v>
      </c>
      <c r="D26" s="129"/>
      <c r="E26" s="129"/>
      <c r="F26" s="129"/>
      <c r="G26" s="129"/>
      <c r="H26" s="129"/>
      <c r="I26" s="130"/>
      <c r="J26" s="131">
        <f>IF(C26="","",SUM(D26:I26))</f>
        <v>0</v>
      </c>
      <c r="K26" s="184"/>
      <c r="L26" s="184"/>
      <c r="M26" s="184"/>
      <c r="N26" s="184"/>
      <c r="O26" s="184"/>
      <c r="P26" s="184"/>
      <c r="Q26" s="131">
        <f>D26*K26+E26*L26+F26*M26+G26*N26+H26*O26+I26*P26</f>
        <v>0</v>
      </c>
    </row>
    <row r="27" spans="2:22" ht="51.75" customHeight="1" thickBot="1">
      <c r="C27" s="129"/>
      <c r="D27" s="129"/>
      <c r="E27" s="129"/>
      <c r="F27" s="129"/>
      <c r="G27" s="129"/>
      <c r="H27" s="129"/>
    </row>
    <row r="28" spans="2:22" ht="43.5" customHeight="1" thickBot="1">
      <c r="J28" s="235">
        <f>SUM(J25:J26)</f>
        <v>0</v>
      </c>
      <c r="Q28" s="235">
        <f>SUM(Q25:Q26)</f>
        <v>0</v>
      </c>
      <c r="S28" s="103" t="str">
        <f>IF(ISNUMBER(R18)=FALSE,IF(R18="","","Voer getal in!!"),"")</f>
        <v/>
      </c>
      <c r="T28" s="103" t="str">
        <f>IF(ISNUMBER(S18)=FALSE,IF(S18="","","Voer getal in!!"),"")</f>
        <v/>
      </c>
      <c r="U28" s="103" t="str">
        <f>IF(ISNUMBER(T18)=FALSE,IF(T18="","","Voer getal in!!"),"")</f>
        <v/>
      </c>
      <c r="V28" s="103" t="str">
        <f>IF(ISNUMBER(U18)=FALSE,IF(U18="","","Voer getal in!!"),"")</f>
        <v/>
      </c>
    </row>
    <row r="29" spans="2:22" ht="43.5" customHeight="1">
      <c r="S29" s="103"/>
      <c r="T29" s="103"/>
      <c r="U29" s="103"/>
      <c r="V29" s="103"/>
    </row>
    <row r="30" spans="2:22" ht="46.5" customHeight="1">
      <c r="C30" s="361" t="s">
        <v>541</v>
      </c>
    </row>
    <row r="31" spans="2:22" ht="59.25" customHeight="1">
      <c r="B31" s="347">
        <v>5</v>
      </c>
      <c r="C31" s="362"/>
      <c r="D31" s="340" t="s">
        <v>445</v>
      </c>
      <c r="E31" s="341"/>
      <c r="F31" s="341"/>
      <c r="G31" s="341"/>
      <c r="H31" s="341"/>
      <c r="I31" s="342"/>
    </row>
    <row r="32" spans="2:22" ht="49.5" customHeight="1">
      <c r="B32" s="349"/>
      <c r="C32" s="222" t="s">
        <v>483</v>
      </c>
      <c r="D32" s="71" t="s">
        <v>0</v>
      </c>
      <c r="E32" s="71" t="s">
        <v>2</v>
      </c>
      <c r="F32" s="71" t="s">
        <v>1</v>
      </c>
      <c r="G32" s="71" t="s">
        <v>385</v>
      </c>
      <c r="H32" s="71" t="s">
        <v>386</v>
      </c>
      <c r="I32" s="71" t="s">
        <v>583</v>
      </c>
    </row>
    <row r="33" spans="2:19" ht="49.5" customHeight="1">
      <c r="B33" s="348"/>
      <c r="C33" s="186" t="s">
        <v>481</v>
      </c>
      <c r="D33" s="27"/>
      <c r="E33" s="27"/>
      <c r="F33" s="27"/>
      <c r="G33" s="27"/>
      <c r="H33" s="27"/>
      <c r="I33" s="28"/>
    </row>
    <row r="34" spans="2:19" ht="49.5" customHeight="1"/>
    <row r="35" spans="2:19" ht="12"/>
    <row r="36" spans="2:19" ht="30" customHeight="1">
      <c r="C36" s="361" t="s">
        <v>542</v>
      </c>
      <c r="J36" s="103"/>
      <c r="K36" s="103"/>
      <c r="L36" s="103"/>
      <c r="M36" s="103"/>
      <c r="N36" s="103"/>
      <c r="O36" s="103"/>
    </row>
    <row r="37" spans="2:19" ht="30" customHeight="1">
      <c r="B37" s="368">
        <v>6</v>
      </c>
      <c r="C37" s="362"/>
      <c r="D37" s="340" t="s">
        <v>444</v>
      </c>
      <c r="E37" s="341"/>
      <c r="F37" s="341"/>
      <c r="G37" s="341"/>
      <c r="H37" s="341"/>
      <c r="I37" s="342"/>
      <c r="J37" s="103"/>
      <c r="K37" s="103"/>
      <c r="L37" s="103"/>
      <c r="M37" s="103"/>
      <c r="N37" s="103"/>
      <c r="O37" s="103"/>
    </row>
    <row r="38" spans="2:19" ht="47.25" customHeight="1">
      <c r="B38" s="368"/>
      <c r="C38" s="222" t="s">
        <v>483</v>
      </c>
      <c r="D38" s="255" t="s">
        <v>0</v>
      </c>
      <c r="E38" s="71" t="s">
        <v>2</v>
      </c>
      <c r="F38" s="71" t="s">
        <v>1</v>
      </c>
      <c r="G38" s="71" t="s">
        <v>385</v>
      </c>
      <c r="H38" s="71" t="s">
        <v>386</v>
      </c>
      <c r="I38" s="71" t="s">
        <v>583</v>
      </c>
      <c r="J38" s="103"/>
      <c r="K38" s="103"/>
      <c r="L38" s="103"/>
      <c r="M38" s="103"/>
      <c r="N38" s="103"/>
      <c r="O38" s="103"/>
    </row>
    <row r="39" spans="2:19" ht="124.5" customHeight="1">
      <c r="B39" s="368"/>
      <c r="C39" s="187" t="s">
        <v>482</v>
      </c>
      <c r="D39" s="27"/>
      <c r="E39" s="27"/>
      <c r="F39" s="27"/>
      <c r="G39" s="27"/>
      <c r="H39" s="27"/>
      <c r="I39" s="28"/>
    </row>
    <row r="40" spans="2:19" ht="51.75" customHeight="1"/>
    <row r="42" spans="2:19" ht="30" customHeight="1">
      <c r="C42" s="361" t="s">
        <v>543</v>
      </c>
    </row>
    <row r="43" spans="2:19" ht="56.45" customHeight="1">
      <c r="B43" s="368">
        <v>7</v>
      </c>
      <c r="C43" s="362"/>
      <c r="D43" s="340" t="s">
        <v>487</v>
      </c>
      <c r="E43" s="341"/>
      <c r="F43" s="341"/>
      <c r="G43" s="341"/>
      <c r="H43" s="341"/>
      <c r="I43" s="341"/>
      <c r="J43" s="341"/>
      <c r="K43" s="341"/>
      <c r="L43" s="341"/>
      <c r="M43" s="341"/>
      <c r="N43" s="341"/>
      <c r="O43" s="341"/>
      <c r="P43" s="341"/>
      <c r="Q43" s="341"/>
      <c r="R43" s="341"/>
      <c r="S43" s="342"/>
    </row>
    <row r="44" spans="2:19" ht="54" customHeight="1">
      <c r="B44" s="368"/>
      <c r="C44" s="222" t="s">
        <v>483</v>
      </c>
      <c r="D44" s="11">
        <v>2025</v>
      </c>
      <c r="E44" s="11">
        <v>2026</v>
      </c>
      <c r="F44" s="11">
        <v>2027</v>
      </c>
      <c r="G44" s="11">
        <v>2028</v>
      </c>
      <c r="H44" s="11">
        <v>2029</v>
      </c>
      <c r="I44" s="11">
        <v>2030</v>
      </c>
      <c r="J44" s="11">
        <v>2031</v>
      </c>
      <c r="K44" s="11">
        <v>2032</v>
      </c>
      <c r="L44" s="11">
        <v>2033</v>
      </c>
      <c r="M44" s="11">
        <v>2034</v>
      </c>
      <c r="N44" s="329" t="s">
        <v>346</v>
      </c>
      <c r="O44" s="330"/>
      <c r="P44" s="330"/>
      <c r="Q44" s="330"/>
      <c r="R44" s="330"/>
      <c r="S44" s="331"/>
    </row>
    <row r="45" spans="2:19" ht="44.25" customHeight="1">
      <c r="B45" s="368"/>
      <c r="C45" s="186" t="s">
        <v>481</v>
      </c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332">
        <f>IF((SUM(D45:M45))=(SUM(D18:I18)),SUM(D45:M45),"Aantallen komen niet overeen met aantallen bij onderdeel 3 (sloop)")</f>
        <v>0</v>
      </c>
      <c r="O45" s="333"/>
      <c r="P45" s="333"/>
      <c r="Q45" s="333"/>
      <c r="R45" s="333"/>
      <c r="S45" s="334"/>
    </row>
    <row r="46" spans="2:19" ht="33.950000000000003" customHeight="1">
      <c r="B46" s="368"/>
      <c r="C46" s="187" t="s">
        <v>482</v>
      </c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332">
        <f>IF((SUM(D46:M46))=(SUM(D19:I19)),SUM(D46:M46),"Aantallen komen niet overeen met aantallen bij onderdeel 3 (sloop)")</f>
        <v>0</v>
      </c>
      <c r="O46" s="333"/>
      <c r="P46" s="333"/>
      <c r="Q46" s="333"/>
      <c r="R46" s="333"/>
      <c r="S46" s="334"/>
    </row>
    <row r="47" spans="2:19" ht="33.950000000000003" customHeight="1"/>
    <row r="48" spans="2:19" ht="33.6" customHeight="1"/>
    <row r="49" spans="2:19" ht="62.45" customHeight="1">
      <c r="C49" s="361" t="s">
        <v>580</v>
      </c>
    </row>
    <row r="50" spans="2:19" ht="38.25" customHeight="1">
      <c r="B50" s="368">
        <v>8</v>
      </c>
      <c r="C50" s="362"/>
      <c r="D50" s="340" t="s">
        <v>581</v>
      </c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2"/>
    </row>
    <row r="51" spans="2:19" ht="38.25" customHeight="1">
      <c r="B51" s="368"/>
      <c r="C51" s="222" t="s">
        <v>483</v>
      </c>
      <c r="D51" s="11">
        <v>2025</v>
      </c>
      <c r="E51" s="11">
        <v>2026</v>
      </c>
      <c r="F51" s="11">
        <v>2027</v>
      </c>
      <c r="G51" s="11">
        <v>2028</v>
      </c>
      <c r="H51" s="11">
        <v>2029</v>
      </c>
      <c r="I51" s="11">
        <v>2030</v>
      </c>
      <c r="J51" s="11">
        <v>2031</v>
      </c>
      <c r="K51" s="11">
        <v>2032</v>
      </c>
      <c r="L51" s="11">
        <v>2033</v>
      </c>
      <c r="M51" s="11">
        <v>2034</v>
      </c>
      <c r="N51" s="329" t="s">
        <v>346</v>
      </c>
      <c r="O51" s="330"/>
      <c r="P51" s="330"/>
      <c r="Q51" s="330"/>
      <c r="R51" s="330"/>
      <c r="S51" s="331"/>
    </row>
    <row r="52" spans="2:19" ht="30" customHeight="1">
      <c r="B52" s="368"/>
      <c r="C52" s="186" t="s">
        <v>481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332">
        <f>IF((SUM(D52:M52))=(SUM(D25:I25)),SUM(D52:M52),"Aantallen komen niet overeen met aantallen bij onderdeel 4 (nieuwbouw)")</f>
        <v>0</v>
      </c>
      <c r="O52" s="333"/>
      <c r="P52" s="333"/>
      <c r="Q52" s="333"/>
      <c r="R52" s="333"/>
      <c r="S52" s="334"/>
    </row>
    <row r="53" spans="2:19" ht="30" customHeight="1">
      <c r="B53" s="368"/>
      <c r="C53" s="187" t="s">
        <v>482</v>
      </c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332">
        <f>IF((SUM(D53:M53))=(SUM(D26:I26)),SUM(D53:M53),"Aantallen komen niet overeen met aantallen bij onderdeel 4 (nieuwbouw)")</f>
        <v>0</v>
      </c>
      <c r="O53" s="333"/>
      <c r="P53" s="333"/>
      <c r="Q53" s="333"/>
      <c r="R53" s="333"/>
      <c r="S53" s="334"/>
    </row>
    <row r="55" spans="2:19" ht="30" customHeight="1" thickBot="1"/>
    <row r="56" spans="2:19" ht="66.75" customHeight="1">
      <c r="B56" s="324" t="s">
        <v>396</v>
      </c>
      <c r="C56" s="325"/>
      <c r="D56" s="326"/>
      <c r="E56" s="29"/>
      <c r="F56" s="29"/>
      <c r="G56" s="29"/>
      <c r="H56" s="29"/>
      <c r="I56" s="29"/>
      <c r="J56" s="29"/>
      <c r="K56" s="30"/>
    </row>
    <row r="57" spans="2:19" ht="66.75" customHeight="1">
      <c r="B57" s="15"/>
      <c r="K57" s="14"/>
    </row>
    <row r="58" spans="2:19" ht="66.75" customHeight="1">
      <c r="B58" s="15"/>
      <c r="C58" s="327" t="str">
        <f>IF(C18="","",CONCATENATE("Projectnaam/programmanaam: ",C6))</f>
        <v xml:space="preserve">Projectnaam/programmanaam: </v>
      </c>
      <c r="D58" s="256" t="s">
        <v>0</v>
      </c>
      <c r="E58" s="256" t="s">
        <v>2</v>
      </c>
      <c r="F58" s="256" t="s">
        <v>350</v>
      </c>
      <c r="G58" s="256" t="s">
        <v>385</v>
      </c>
      <c r="H58" s="256" t="s">
        <v>386</v>
      </c>
      <c r="I58" s="256" t="s">
        <v>583</v>
      </c>
      <c r="J58" s="257" t="s">
        <v>346</v>
      </c>
      <c r="K58" s="14"/>
      <c r="L58" s="335" t="s">
        <v>628</v>
      </c>
      <c r="M58" s="335"/>
      <c r="N58" s="336"/>
    </row>
    <row r="59" spans="2:19" ht="30" customHeight="1">
      <c r="B59" s="15"/>
      <c r="C59" s="328"/>
      <c r="D59" s="258"/>
      <c r="E59" s="258"/>
      <c r="F59" s="258"/>
      <c r="G59" s="258"/>
      <c r="H59" s="258"/>
      <c r="I59" s="258"/>
      <c r="J59" s="259"/>
      <c r="K59" s="14"/>
      <c r="L59" s="293"/>
      <c r="M59" s="293"/>
      <c r="N59" s="337"/>
    </row>
    <row r="60" spans="2:19" ht="30" customHeight="1">
      <c r="B60" s="15"/>
      <c r="C60" s="115" t="s">
        <v>493</v>
      </c>
      <c r="D60" s="118" t="e">
        <f>(VLOOKUP($A$1,'Kengetal sloop-nieuwbouw'!$B$2:$H$5,2,FALSE)*'Sloop-nieuwbouw plannen'!$K18)*'Sloop-nieuwbouw plannen'!$D18</f>
        <v>#N/A</v>
      </c>
      <c r="E60" s="118" t="e">
        <f>(VLOOKUP($A$1,'Kengetal sloop-nieuwbouw'!$B$2:$H$5,3,FALSE)*'Sloop-nieuwbouw plannen'!$L18)*'Sloop-nieuwbouw plannen'!$E18</f>
        <v>#N/A</v>
      </c>
      <c r="F60" s="118" t="e">
        <f>(VLOOKUP($A$1,'Kengetal sloop-nieuwbouw'!$B$2:$H$5,4,FALSE)*'Sloop-nieuwbouw plannen'!$M18)*'Sloop-nieuwbouw plannen'!$F18</f>
        <v>#N/A</v>
      </c>
      <c r="G60" s="118" t="e">
        <f>(VLOOKUP($A$1,'Kengetal sloop-nieuwbouw'!$B$2:$H$5,5,FALSE)*'Sloop-nieuwbouw plannen'!$N18)*'Sloop-nieuwbouw plannen'!$G18</f>
        <v>#N/A</v>
      </c>
      <c r="H60" s="118" t="e">
        <f>(VLOOKUP($A$1,'Kengetal sloop-nieuwbouw'!$B$2:$H$5,6,FALSE)*'Sloop-nieuwbouw plannen'!$O18)*'Sloop-nieuwbouw plannen'!$H18</f>
        <v>#N/A</v>
      </c>
      <c r="I60" s="118" t="e">
        <f>(VLOOKUP($A$1,'Kengetal sloop-nieuwbouw'!$B$2:$H$5,7,FALSE)*'Sloop-nieuwbouw plannen'!$P18)*'Sloop-nieuwbouw plannen'!$I18</f>
        <v>#N/A</v>
      </c>
      <c r="J60" s="119" t="e">
        <f>SUM(D60:I60)</f>
        <v>#N/A</v>
      </c>
      <c r="K60" s="14"/>
      <c r="L60" s="293"/>
      <c r="M60" s="293"/>
      <c r="N60" s="337"/>
    </row>
    <row r="61" spans="2:19" ht="72" customHeight="1">
      <c r="B61" s="15"/>
      <c r="C61" s="115" t="s">
        <v>494</v>
      </c>
      <c r="D61" s="118" t="e">
        <f>(VLOOKUP($A$1,'Kengetal sloop-nieuwbouw'!$B$2:$H$5,2,FALSE)*'Sloop-nieuwbouw plannen'!$K19)*'Sloop-nieuwbouw plannen'!$D19</f>
        <v>#N/A</v>
      </c>
      <c r="E61" s="118" t="e">
        <f>(VLOOKUP($A$1,'Kengetal sloop-nieuwbouw'!$B$2:$H$5,3,FALSE)*'Sloop-nieuwbouw plannen'!$L19)*'Sloop-nieuwbouw plannen'!$E19</f>
        <v>#N/A</v>
      </c>
      <c r="F61" s="118" t="e">
        <f>(VLOOKUP($A$1,'Kengetal sloop-nieuwbouw'!$B$2:$H$5,4,FALSE)*'Sloop-nieuwbouw plannen'!$M19)*'Sloop-nieuwbouw plannen'!$F19</f>
        <v>#N/A</v>
      </c>
      <c r="G61" s="118" t="e">
        <f>(VLOOKUP($A$1,'Kengetal sloop-nieuwbouw'!$B$2:$H$5,5,FALSE)*'Sloop-nieuwbouw plannen'!$N19)*'Sloop-nieuwbouw plannen'!$G19</f>
        <v>#N/A</v>
      </c>
      <c r="H61" s="118" t="e">
        <f>(VLOOKUP($A$1,'Kengetal sloop-nieuwbouw'!$B$2:$H$5,6,FALSE)*'Sloop-nieuwbouw plannen'!$O19)*'Sloop-nieuwbouw plannen'!$H19</f>
        <v>#N/A</v>
      </c>
      <c r="I61" s="118" t="e">
        <f>(VLOOKUP($A$1,'Kengetal sloop-nieuwbouw'!$B$2:$H$5,7,FALSE)*'Sloop-nieuwbouw plannen'!$P19)*'Sloop-nieuwbouw plannen'!$I19</f>
        <v>#N/A</v>
      </c>
      <c r="J61" s="119" t="e">
        <f>SUM(D61:I61)</f>
        <v>#N/A</v>
      </c>
      <c r="K61" s="14"/>
      <c r="L61" s="338"/>
      <c r="M61" s="338"/>
      <c r="N61" s="339"/>
    </row>
    <row r="62" spans="2:19" ht="60" customHeight="1">
      <c r="B62" s="15"/>
      <c r="C62" s="116"/>
      <c r="D62" s="278"/>
      <c r="E62" s="279"/>
      <c r="F62" s="279"/>
      <c r="G62" s="279"/>
      <c r="H62" s="279"/>
      <c r="I62" s="279"/>
      <c r="J62" s="117"/>
      <c r="K62" s="14"/>
    </row>
    <row r="63" spans="2:19" ht="64.5" customHeight="1">
      <c r="B63" s="15"/>
      <c r="C63" s="115" t="s">
        <v>488</v>
      </c>
      <c r="D63" s="118" t="e">
        <f>((VLOOKUP($A$1,'Kengetal sloop-nieuwbouw'!$B$7:$H$10,2,FALSE)*$K$25)*D25)</f>
        <v>#N/A</v>
      </c>
      <c r="E63" s="118" t="e">
        <f>((VLOOKUP($A$1,'Kengetal sloop-nieuwbouw'!$B$7:$H$10,3,FALSE)*$L25)*E25)</f>
        <v>#N/A</v>
      </c>
      <c r="F63" s="118" t="e">
        <f>((VLOOKUP($A$1,'Kengetal sloop-nieuwbouw'!$B$7:$H$10,4,FALSE)*$M25)*F25)</f>
        <v>#N/A</v>
      </c>
      <c r="G63" s="118" t="e">
        <f>((VLOOKUP($A$1,'Kengetal sloop-nieuwbouw'!$B$7:$H$10,5,FALSE)*$N25)*G25)</f>
        <v>#N/A</v>
      </c>
      <c r="H63" s="118" t="e">
        <f>((VLOOKUP($A$1,'Kengetal sloop-nieuwbouw'!$B$7:$H$10,6,FALSE)*$O25)*H25)</f>
        <v>#N/A</v>
      </c>
      <c r="I63" s="118" t="e">
        <f>((VLOOKUP($A$1,'Kengetal sloop-nieuwbouw'!$B$7:$H$10,7,FALSE)*$P25)*I25)</f>
        <v>#N/A</v>
      </c>
      <c r="J63" s="119" t="e">
        <f>SUM(D63:I63)</f>
        <v>#N/A</v>
      </c>
      <c r="K63" s="14"/>
    </row>
    <row r="64" spans="2:19" ht="64.5" customHeight="1">
      <c r="B64" s="15"/>
      <c r="C64" s="115" t="s">
        <v>489</v>
      </c>
      <c r="D64" s="118" t="e">
        <f>((VLOOKUP($A$1,'Kengetal sloop-nieuwbouw'!$B$7:$H$10,2,FALSE)*$K$26)*D26)</f>
        <v>#N/A</v>
      </c>
      <c r="E64" s="118" t="e">
        <f>((VLOOKUP($A$1,'Kengetal sloop-nieuwbouw'!$B$7:$H$10,3,FALSE)*$L26)*E26)</f>
        <v>#N/A</v>
      </c>
      <c r="F64" s="118" t="e">
        <f>((VLOOKUP($A$1,'Kengetal sloop-nieuwbouw'!$B$7:$H$10,4,FALSE)*$M26)*F26)</f>
        <v>#N/A</v>
      </c>
      <c r="G64" s="118" t="e">
        <f>((VLOOKUP($A$1,'Kengetal sloop-nieuwbouw'!$B$7:$H$10,5,FALSE)*$N26)*G26)</f>
        <v>#N/A</v>
      </c>
      <c r="H64" s="118" t="e">
        <f>((VLOOKUP($A$1,'Kengetal sloop-nieuwbouw'!$B$7:$H$10,6,FALSE)*$O26)*H26)</f>
        <v>#N/A</v>
      </c>
      <c r="I64" s="118" t="e">
        <f>((VLOOKUP($A$1,'Kengetal sloop-nieuwbouw'!$B$7:$H$10,7,FALSE)*$P26)*I26)</f>
        <v>#N/A</v>
      </c>
      <c r="J64" s="119" t="e">
        <f>SUM(D64:I64)</f>
        <v>#N/A</v>
      </c>
      <c r="K64" s="14"/>
    </row>
    <row r="65" spans="2:13" ht="64.5" customHeight="1">
      <c r="B65" s="15"/>
      <c r="C65" s="116"/>
      <c r="D65" s="278"/>
      <c r="E65" s="279"/>
      <c r="F65" s="279"/>
      <c r="G65" s="279"/>
      <c r="H65" s="279"/>
      <c r="I65" s="279"/>
      <c r="J65" s="117"/>
      <c r="K65" s="14"/>
    </row>
    <row r="66" spans="2:13" ht="64.5" customHeight="1">
      <c r="B66" s="15"/>
      <c r="C66" s="120" t="s">
        <v>491</v>
      </c>
      <c r="D66" s="121">
        <f t="shared" ref="D66:I66" si="0">(D$33*D25)</f>
        <v>0</v>
      </c>
      <c r="E66" s="121">
        <f t="shared" si="0"/>
        <v>0</v>
      </c>
      <c r="F66" s="121">
        <f t="shared" si="0"/>
        <v>0</v>
      </c>
      <c r="G66" s="121">
        <f t="shared" si="0"/>
        <v>0</v>
      </c>
      <c r="H66" s="121">
        <f t="shared" si="0"/>
        <v>0</v>
      </c>
      <c r="I66" s="121">
        <f t="shared" si="0"/>
        <v>0</v>
      </c>
      <c r="J66" s="122">
        <f>SUM(D66:I66)</f>
        <v>0</v>
      </c>
      <c r="K66" s="14"/>
    </row>
    <row r="67" spans="2:13" ht="64.5" customHeight="1">
      <c r="B67" s="15"/>
      <c r="C67" s="120" t="s">
        <v>490</v>
      </c>
      <c r="D67" s="121">
        <f>SUM('Exploitatie part. verhuur nieuw'!I143:I202)</f>
        <v>0</v>
      </c>
      <c r="E67" s="121">
        <f>SUM('Exploitatie part. verhuur nieuw'!J143:J202)</f>
        <v>0</v>
      </c>
      <c r="F67" s="121">
        <f>SUM('Exploitatie part. verhuur nieuw'!K143:K202)</f>
        <v>0</v>
      </c>
      <c r="G67" s="121">
        <f>SUM('Exploitatie part. verhuur nieuw'!L143:L202)</f>
        <v>0</v>
      </c>
      <c r="H67" s="121">
        <f>SUM('Exploitatie part. verhuur nieuw'!M143:M202)</f>
        <v>0</v>
      </c>
      <c r="I67" s="121">
        <f>SUM('Exploitatie part. verhuur nieuw'!N143:N202)</f>
        <v>0</v>
      </c>
      <c r="J67" s="122">
        <f>SUM(D67:I67)</f>
        <v>0</v>
      </c>
      <c r="K67" s="14"/>
    </row>
    <row r="68" spans="2:13" ht="64.5" customHeight="1">
      <c r="B68" s="15"/>
      <c r="C68" s="116"/>
      <c r="D68" s="278"/>
      <c r="E68" s="279"/>
      <c r="F68" s="279"/>
      <c r="G68" s="279"/>
      <c r="H68" s="279"/>
      <c r="I68" s="279"/>
      <c r="J68" s="117"/>
      <c r="K68" s="14"/>
    </row>
    <row r="69" spans="2:13" ht="21" customHeight="1" thickBot="1">
      <c r="B69" s="16"/>
      <c r="C69" s="17"/>
      <c r="D69" s="17"/>
      <c r="E69" s="17"/>
      <c r="F69" s="17"/>
      <c r="G69" s="17"/>
      <c r="H69" s="17"/>
      <c r="I69" s="17"/>
      <c r="J69" s="17"/>
      <c r="K69" s="18"/>
    </row>
    <row r="70" spans="2:13" ht="30" customHeight="1">
      <c r="L70" s="8"/>
      <c r="M70" s="8"/>
    </row>
    <row r="71" spans="2:13" ht="30" customHeight="1">
      <c r="L71" s="8"/>
      <c r="M71" s="8"/>
    </row>
    <row r="72" spans="2:13" ht="30" customHeight="1">
      <c r="C72" s="19" t="s">
        <v>4</v>
      </c>
      <c r="D72" s="21" t="str">
        <f>START!$D$6</f>
        <v>[selecteer]</v>
      </c>
      <c r="L72" s="8"/>
      <c r="M72" s="8"/>
    </row>
    <row r="73" spans="2:13" ht="30" customHeight="1">
      <c r="C73" s="19" t="s">
        <v>412</v>
      </c>
      <c r="D73" s="21" t="str">
        <f>START!$D$8</f>
        <v>[selecteer]</v>
      </c>
      <c r="L73" s="8"/>
      <c r="M73" s="8"/>
    </row>
    <row r="74" spans="2:13" ht="33" customHeight="1">
      <c r="C74" s="19" t="s">
        <v>408</v>
      </c>
      <c r="D74" s="20" t="str">
        <f>IF(ISERROR(START!V1),IF(START!$W$1=0,"Vul in op tabblad START",START!D14),START!D10)</f>
        <v>Vul in op tabblad START</v>
      </c>
      <c r="L74" s="8"/>
      <c r="M74" s="8"/>
    </row>
    <row r="75" spans="2:13" ht="33" customHeight="1">
      <c r="L75" s="8"/>
      <c r="M75" s="8"/>
    </row>
    <row r="76" spans="2:13" ht="37.5" customHeight="1">
      <c r="C76" s="19" t="s">
        <v>521</v>
      </c>
      <c r="D76" s="21" t="e">
        <f>D11/D99</f>
        <v>#DIV/0!</v>
      </c>
      <c r="L76" s="8"/>
      <c r="M76" s="8"/>
    </row>
    <row r="77" spans="2:13" ht="30" customHeight="1">
      <c r="C77" s="19" t="s">
        <v>522</v>
      </c>
      <c r="D77" s="21" t="e">
        <f>D12/D109</f>
        <v>#DIV/0!</v>
      </c>
      <c r="L77" s="8"/>
      <c r="M77" s="8"/>
    </row>
    <row r="78" spans="2:13" ht="30" customHeight="1">
      <c r="L78" s="8"/>
      <c r="M78" s="8"/>
    </row>
    <row r="79" spans="2:13" ht="30" customHeight="1">
      <c r="C79" s="322" t="s">
        <v>344</v>
      </c>
      <c r="D79" s="323"/>
      <c r="L79" s="8"/>
      <c r="M79" s="8"/>
    </row>
    <row r="80" spans="2:13" ht="37.5" customHeight="1">
      <c r="C80" s="19" t="s">
        <v>381</v>
      </c>
      <c r="D80" s="31">
        <f>SUM(D18:I20)</f>
        <v>0</v>
      </c>
      <c r="L80" s="8"/>
      <c r="M80" s="8"/>
    </row>
    <row r="81" spans="2:13" ht="32.25" customHeight="1">
      <c r="C81" s="19" t="s">
        <v>382</v>
      </c>
      <c r="D81" s="31">
        <f>SUM(D25:I27)</f>
        <v>0</v>
      </c>
      <c r="L81" s="8"/>
      <c r="M81" s="8"/>
    </row>
    <row r="82" spans="2:13" ht="30" customHeight="1">
      <c r="L82" s="8"/>
      <c r="M82" s="8"/>
    </row>
    <row r="83" spans="2:13" ht="30" customHeight="1">
      <c r="C83" s="322" t="s">
        <v>392</v>
      </c>
      <c r="D83" s="323"/>
      <c r="L83" s="8"/>
      <c r="M83" s="8"/>
    </row>
    <row r="84" spans="2:13" ht="30" customHeight="1">
      <c r="C84" s="19" t="s">
        <v>492</v>
      </c>
      <c r="D84" s="23">
        <f>IFERROR(SUM(J60)*-1,0)</f>
        <v>0</v>
      </c>
      <c r="L84" s="8"/>
      <c r="M84" s="8"/>
    </row>
    <row r="85" spans="2:13" ht="30" customHeight="1">
      <c r="C85" s="19" t="s">
        <v>495</v>
      </c>
      <c r="D85" s="23">
        <f>IFERROR(SUM(J61)*-1,0)</f>
        <v>0</v>
      </c>
    </row>
    <row r="86" spans="2:13" ht="30" customHeight="1">
      <c r="B86" s="8"/>
      <c r="C86" s="19" t="s">
        <v>496</v>
      </c>
      <c r="D86" s="23">
        <f>IFERROR(((SUM(J63)*-1)),0)</f>
        <v>0</v>
      </c>
      <c r="E86" s="8"/>
      <c r="F86" s="8"/>
      <c r="H86" s="8"/>
      <c r="I86" s="8"/>
      <c r="J86" s="8"/>
      <c r="K86" s="8"/>
    </row>
    <row r="87" spans="2:13" ht="30" customHeight="1">
      <c r="B87" s="8"/>
      <c r="C87" s="19" t="s">
        <v>497</v>
      </c>
      <c r="D87" s="23">
        <f>IFERROR(((SUM(J64)*-1)),0)</f>
        <v>0</v>
      </c>
      <c r="E87" s="8"/>
      <c r="F87" s="8"/>
      <c r="G87" s="8"/>
      <c r="H87" s="8"/>
      <c r="I87" s="8"/>
      <c r="J87" s="8"/>
      <c r="K87" s="8"/>
    </row>
    <row r="88" spans="2:13" ht="51" customHeight="1"/>
    <row r="89" spans="2:13" ht="51" customHeight="1">
      <c r="C89" s="322" t="s">
        <v>384</v>
      </c>
      <c r="D89" s="323"/>
    </row>
    <row r="90" spans="2:13" ht="27.95" customHeight="1">
      <c r="C90" s="47" t="s">
        <v>498</v>
      </c>
      <c r="D90" s="24">
        <f>SUM(J66)</f>
        <v>0</v>
      </c>
    </row>
    <row r="91" spans="2:13" ht="30" customHeight="1">
      <c r="C91" s="47" t="s">
        <v>499</v>
      </c>
      <c r="D91" s="24">
        <f>SUM(J67)</f>
        <v>0</v>
      </c>
    </row>
    <row r="93" spans="2:13" ht="30" customHeight="1">
      <c r="C93" s="322" t="s">
        <v>574</v>
      </c>
      <c r="D93" s="323"/>
    </row>
    <row r="94" spans="2:13" ht="30" customHeight="1">
      <c r="C94" s="19" t="s">
        <v>501</v>
      </c>
      <c r="D94" s="48">
        <f>SUM(D18:I18)</f>
        <v>0</v>
      </c>
    </row>
    <row r="95" spans="2:13" ht="30" customHeight="1">
      <c r="C95" s="19" t="s">
        <v>500</v>
      </c>
      <c r="D95" s="33">
        <f>D84</f>
        <v>0</v>
      </c>
    </row>
    <row r="96" spans="2:13" ht="30" customHeight="1">
      <c r="C96" s="19" t="s">
        <v>506</v>
      </c>
      <c r="D96" s="48">
        <f>SUM(D25:I25)</f>
        <v>0</v>
      </c>
    </row>
    <row r="97" spans="3:6" ht="30" customHeight="1">
      <c r="C97" s="19" t="s">
        <v>507</v>
      </c>
      <c r="D97" s="33">
        <f>D86</f>
        <v>0</v>
      </c>
    </row>
    <row r="98" spans="3:6" ht="30" customHeight="1">
      <c r="C98" s="19" t="s">
        <v>508</v>
      </c>
      <c r="D98" s="33">
        <f>D90</f>
        <v>0</v>
      </c>
    </row>
    <row r="99" spans="3:6" ht="30" customHeight="1">
      <c r="C99" s="19" t="str">
        <f>IF(D99&gt;0.01,"Rendement koop","Financieel tekort particuliere koop")</f>
        <v>Financieel tekort particuliere koop</v>
      </c>
      <c r="D99" s="23">
        <f>D95+D97+D98</f>
        <v>0</v>
      </c>
    </row>
    <row r="100" spans="3:6" ht="30" customHeight="1">
      <c r="C100" s="19" t="s">
        <v>521</v>
      </c>
      <c r="D100" s="201" t="str">
        <f>IF(D99&lt;0,((D11)*1),"geen financieel tekort")</f>
        <v>geen financieel tekort</v>
      </c>
      <c r="E100" s="260"/>
    </row>
    <row r="101" spans="3:6" ht="30" customHeight="1">
      <c r="C101" s="19" t="s">
        <v>573</v>
      </c>
      <c r="D101" s="203" t="str">
        <f>IF(D99&gt;=0,"geen financieel tekort",D99+D100)</f>
        <v>geen financieel tekort</v>
      </c>
      <c r="E101" s="363" t="str">
        <f>IF(D101="geen financieel tekort"," ",(IF(D101&gt;0,"LET OP: GEEN FINANCIEEL TEKORT"," ")))</f>
        <v xml:space="preserve"> </v>
      </c>
      <c r="F101" s="364"/>
    </row>
    <row r="103" spans="3:6" ht="30" customHeight="1">
      <c r="C103" s="322" t="s">
        <v>575</v>
      </c>
      <c r="D103" s="323"/>
    </row>
    <row r="104" spans="3:6" ht="30" customHeight="1">
      <c r="C104" s="19" t="s">
        <v>502</v>
      </c>
      <c r="D104" s="123">
        <f>SUM(D19:I19)</f>
        <v>0</v>
      </c>
    </row>
    <row r="105" spans="3:6" ht="30" customHeight="1">
      <c r="C105" s="19" t="s">
        <v>500</v>
      </c>
      <c r="D105" s="33">
        <f>D85</f>
        <v>0</v>
      </c>
    </row>
    <row r="106" spans="3:6" ht="30" customHeight="1">
      <c r="C106" s="19" t="s">
        <v>504</v>
      </c>
      <c r="D106" s="123">
        <f>SUM(D26:I26)</f>
        <v>0</v>
      </c>
    </row>
    <row r="107" spans="3:6" ht="30" customHeight="1">
      <c r="C107" s="19" t="s">
        <v>505</v>
      </c>
      <c r="D107" s="33">
        <f>D87</f>
        <v>0</v>
      </c>
    </row>
    <row r="108" spans="3:6" ht="30" customHeight="1">
      <c r="C108" s="19" t="s">
        <v>503</v>
      </c>
      <c r="D108" s="33">
        <f>D91</f>
        <v>0</v>
      </c>
    </row>
    <row r="109" spans="3:6" ht="30" customHeight="1">
      <c r="C109" s="19" t="str">
        <f>IF(D109&gt;0.01,"Rendement",CONCATENATE("Financieel tekort particuliere verhuur"))</f>
        <v>Financieel tekort particuliere verhuur</v>
      </c>
      <c r="D109" s="23">
        <f>D105+D107+D108</f>
        <v>0</v>
      </c>
    </row>
    <row r="110" spans="3:6" ht="30" customHeight="1">
      <c r="C110" s="19" t="s">
        <v>522</v>
      </c>
      <c r="D110" s="201" t="str">
        <f>IF(D109&lt;0,((D12)*1),"geen financieel tekort")</f>
        <v>geen financieel tekort</v>
      </c>
    </row>
    <row r="111" spans="3:6" ht="30" customHeight="1">
      <c r="C111" s="19" t="s">
        <v>573</v>
      </c>
      <c r="D111" s="203" t="str">
        <f>IF(D109&gt;=0,"geen financieel tekort",D109+D110)</f>
        <v>geen financieel tekort</v>
      </c>
      <c r="E111" s="363" t="str">
        <f>IF(D111="geen financieel tekort"," ",(IF(D111&gt;0,"LET OP: GEEN FINANCIEEL TEKORT"," ")))</f>
        <v xml:space="preserve"> </v>
      </c>
      <c r="F111" s="364"/>
    </row>
  </sheetData>
  <sheetProtection algorithmName="SHA-512" hashValue="xSL9Pxz0v1OdOyNlCxzlCDkwFEzeeLyeQZQS1ucqeaDHzGChHPHC09BkoAzNYdcMdMfZbR1B8+JzVNHQiEJUpA==" saltValue="h9/tZhM3f1UMsU6Sb/u7lA==" spinCount="100000" sheet="1" autoFilter="0"/>
  <protectedRanges>
    <protectedRange sqref="C6 D11:G12 D18:I19 K18:P19 C27:K27 D39:I39 D45:M46 D52:M53 D25:I26 K25:P26 D33:I34 M58:N58" name="Invullen sloopnieuwbouw"/>
  </protectedRanges>
  <mergeCells count="45">
    <mergeCell ref="E101:F101"/>
    <mergeCell ref="E111:F111"/>
    <mergeCell ref="B31:B33"/>
    <mergeCell ref="D16:J16"/>
    <mergeCell ref="C15:C16"/>
    <mergeCell ref="C22:C23"/>
    <mergeCell ref="C30:C31"/>
    <mergeCell ref="D23:J23"/>
    <mergeCell ref="D31:I31"/>
    <mergeCell ref="B50:B53"/>
    <mergeCell ref="B37:B39"/>
    <mergeCell ref="B43:B46"/>
    <mergeCell ref="D50:S50"/>
    <mergeCell ref="C42:C43"/>
    <mergeCell ref="C49:C50"/>
    <mergeCell ref="C36:C37"/>
    <mergeCell ref="K16:Q16"/>
    <mergeCell ref="K23:Q23"/>
    <mergeCell ref="I15:K15"/>
    <mergeCell ref="I22:K22"/>
    <mergeCell ref="B5:B6"/>
    <mergeCell ref="B16:B19"/>
    <mergeCell ref="B23:B26"/>
    <mergeCell ref="B9:B12"/>
    <mergeCell ref="D9:D10"/>
    <mergeCell ref="E9:G10"/>
    <mergeCell ref="E11:G11"/>
    <mergeCell ref="E12:G12"/>
    <mergeCell ref="C8:C9"/>
    <mergeCell ref="D37:I37"/>
    <mergeCell ref="D43:S43"/>
    <mergeCell ref="N44:S44"/>
    <mergeCell ref="N45:S45"/>
    <mergeCell ref="N46:S46"/>
    <mergeCell ref="N51:S51"/>
    <mergeCell ref="N52:S52"/>
    <mergeCell ref="N53:S53"/>
    <mergeCell ref="C83:D83"/>
    <mergeCell ref="C93:D93"/>
    <mergeCell ref="L58:N61"/>
    <mergeCell ref="C103:D103"/>
    <mergeCell ref="B56:D56"/>
    <mergeCell ref="C58:C59"/>
    <mergeCell ref="C79:D79"/>
    <mergeCell ref="C89:D89"/>
  </mergeCells>
  <conditionalFormatting sqref="C6">
    <cfRule type="notContainsBlanks" dxfId="242" priority="157">
      <formula>LEN(TRIM(C6))&gt;0</formula>
    </cfRule>
  </conditionalFormatting>
  <conditionalFormatting sqref="C27:H27">
    <cfRule type="notContainsBlanks" dxfId="241" priority="10">
      <formula>LEN(TRIM(C27))&gt;0</formula>
    </cfRule>
    <cfRule type="expression" dxfId="240" priority="8">
      <formula>$C27=""</formula>
    </cfRule>
    <cfRule type="containsBlanks" dxfId="239" priority="9">
      <formula>LEN(TRIM(C27))=0</formula>
    </cfRule>
  </conditionalFormatting>
  <conditionalFormatting sqref="C60:J68">
    <cfRule type="expression" dxfId="238" priority="20">
      <formula>$C$18=""</formula>
    </cfRule>
  </conditionalFormatting>
  <conditionalFormatting sqref="D11:D12">
    <cfRule type="notContainsBlanks" dxfId="237" priority="39">
      <formula>LEN(TRIM(D11))&gt;0</formula>
    </cfRule>
  </conditionalFormatting>
  <conditionalFormatting sqref="D74">
    <cfRule type="containsText" dxfId="236" priority="158" operator="containsText" text="!!!">
      <formula>NOT(ISERROR(SEARCH("!!!",D74)))</formula>
    </cfRule>
  </conditionalFormatting>
  <conditionalFormatting sqref="D80:D81">
    <cfRule type="containsText" dxfId="235" priority="3360" operator="containsText" text="!!!">
      <formula>NOT(ISERROR(SEARCH("!!!",D80)))</formula>
    </cfRule>
  </conditionalFormatting>
  <conditionalFormatting sqref="D100">
    <cfRule type="containsText" dxfId="234" priority="26" operator="containsText" text="geen">
      <formula>NOT(ISERROR(SEARCH("geen",D100)))</formula>
    </cfRule>
    <cfRule type="cellIs" dxfId="233" priority="28" operator="greaterThan">
      <formula>0</formula>
    </cfRule>
  </conditionalFormatting>
  <conditionalFormatting sqref="D110">
    <cfRule type="containsText" dxfId="232" priority="24" operator="containsText" text="geen">
      <formula>NOT(ISERROR(SEARCH("geen",D110)))</formula>
    </cfRule>
    <cfRule type="cellIs" dxfId="231" priority="25" operator="greaterThan">
      <formula>0</formula>
    </cfRule>
  </conditionalFormatting>
  <conditionalFormatting sqref="D11:E12">
    <cfRule type="expression" dxfId="230" priority="31">
      <formula>$C11=""</formula>
    </cfRule>
    <cfRule type="containsBlanks" dxfId="229" priority="32">
      <formula>LEN(TRIM(D11))=0</formula>
    </cfRule>
  </conditionalFormatting>
  <conditionalFormatting sqref="D18:H19 D25:H26">
    <cfRule type="containsBlanks" dxfId="228" priority="5476">
      <formula>LEN(TRIM(D18))=0</formula>
    </cfRule>
    <cfRule type="notContainsBlanks" dxfId="227" priority="5477">
      <formula>LEN(TRIM(D18))&gt;0</formula>
    </cfRule>
    <cfRule type="expression" dxfId="226" priority="5475">
      <formula>$C18=""</formula>
    </cfRule>
  </conditionalFormatting>
  <conditionalFormatting sqref="D33:H33 D39:H39">
    <cfRule type="containsBlanks" dxfId="225" priority="5516">
      <formula>LEN(TRIM(D33))=0</formula>
    </cfRule>
    <cfRule type="expression" dxfId="224" priority="5515">
      <formula>$C$18=""</formula>
    </cfRule>
    <cfRule type="notContainsBlanks" dxfId="223" priority="5517">
      <formula>LEN(TRIM(D33))&gt;0</formula>
    </cfRule>
  </conditionalFormatting>
  <conditionalFormatting sqref="D45:H46">
    <cfRule type="expression" dxfId="222" priority="5524">
      <formula>$C18=""</formula>
    </cfRule>
    <cfRule type="containsBlanks" dxfId="221" priority="5525">
      <formula>LEN(TRIM(D45))=0</formula>
    </cfRule>
    <cfRule type="notContainsBlanks" dxfId="220" priority="5526">
      <formula>LEN(TRIM(D45))&gt;0</formula>
    </cfRule>
  </conditionalFormatting>
  <conditionalFormatting sqref="D52:H53">
    <cfRule type="expression" dxfId="219" priority="105">
      <formula>$C25=""</formula>
    </cfRule>
    <cfRule type="containsBlanks" dxfId="218" priority="106">
      <formula>LEN(TRIM(D52))=0</formula>
    </cfRule>
    <cfRule type="notContainsBlanks" dxfId="217" priority="107">
      <formula>LEN(TRIM(D52))&gt;0</formula>
    </cfRule>
  </conditionalFormatting>
  <conditionalFormatting sqref="E11:G12">
    <cfRule type="notContainsBlanks" dxfId="216" priority="30">
      <formula>LEN(TRIM(E11))&gt;0</formula>
    </cfRule>
  </conditionalFormatting>
  <conditionalFormatting sqref="I4:I6 C58:J58 D59:J59">
    <cfRule type="expression" dxfId="215" priority="5521">
      <formula>$C$18=""</formula>
    </cfRule>
  </conditionalFormatting>
  <conditionalFormatting sqref="I18:I19 I25:I26">
    <cfRule type="notContainsBlanks" dxfId="214" priority="5483">
      <formula>LEN(TRIM(I18))&gt;0</formula>
    </cfRule>
    <cfRule type="containsBlanks" dxfId="213" priority="5482">
      <formula>LEN(TRIM(I18))=0</formula>
    </cfRule>
  </conditionalFormatting>
  <conditionalFormatting sqref="I18:J19 I25:J26">
    <cfRule type="expression" dxfId="212" priority="5481">
      <formula>$C18=""</formula>
    </cfRule>
  </conditionalFormatting>
  <conditionalFormatting sqref="I45:M46">
    <cfRule type="notContainsBlanks" dxfId="211" priority="5529">
      <formula>LEN(TRIM(I45))&gt;0</formula>
    </cfRule>
    <cfRule type="expression" dxfId="210" priority="5527">
      <formula>$C$18=""</formula>
    </cfRule>
    <cfRule type="containsBlanks" dxfId="209" priority="5528">
      <formula>LEN(TRIM(I45))=0</formula>
    </cfRule>
  </conditionalFormatting>
  <conditionalFormatting sqref="I52:M53">
    <cfRule type="notContainsBlanks" dxfId="208" priority="110">
      <formula>LEN(TRIM(I52))&gt;0</formula>
    </cfRule>
    <cfRule type="expression" dxfId="207" priority="108">
      <formula>$C$18=""</formula>
    </cfRule>
    <cfRule type="containsBlanks" dxfId="206" priority="109">
      <formula>LEN(TRIM(I52))=0</formula>
    </cfRule>
  </conditionalFormatting>
  <conditionalFormatting sqref="J18:J19 J25:J26">
    <cfRule type="notContainsBlanks" dxfId="205" priority="5565">
      <formula>LEN(TRIM(J18))&gt;0</formula>
    </cfRule>
  </conditionalFormatting>
  <conditionalFormatting sqref="K18:P19 K25:O26">
    <cfRule type="expression" dxfId="204" priority="5484">
      <formula>$C$18=""</formula>
    </cfRule>
    <cfRule type="containsBlanks" dxfId="203" priority="5485">
      <formula>LEN(TRIM(K18))=0</formula>
    </cfRule>
    <cfRule type="notContainsBlanks" dxfId="202" priority="5486">
      <formula>LEN(TRIM(K18))&gt;0</formula>
    </cfRule>
  </conditionalFormatting>
  <conditionalFormatting sqref="N45:N46 N52:N53">
    <cfRule type="expression" dxfId="201" priority="6002">
      <formula>$J18=0</formula>
    </cfRule>
  </conditionalFormatting>
  <conditionalFormatting sqref="N45:N46 N53">
    <cfRule type="expression" dxfId="200" priority="6003">
      <formula>NOT(SUM($D45:$N45)=SUM($D18:$I18))</formula>
    </cfRule>
    <cfRule type="cellIs" dxfId="199" priority="6004" operator="greaterThan">
      <formula>0</formula>
    </cfRule>
  </conditionalFormatting>
  <conditionalFormatting sqref="N52">
    <cfRule type="expression" dxfId="198" priority="6006">
      <formula>NOT(SUM($D52:$N52)=SUM($D25:$I25))</formula>
    </cfRule>
    <cfRule type="cellIs" dxfId="197" priority="6007" operator="greaterThan">
      <formula>0</formula>
    </cfRule>
  </conditionalFormatting>
  <conditionalFormatting sqref="P25:P26 I33 I39">
    <cfRule type="expression" dxfId="196" priority="5487">
      <formula>$C$18=""</formula>
    </cfRule>
    <cfRule type="containsBlanks" dxfId="195" priority="5488">
      <formula>LEN(TRIM(I25))=0</formula>
    </cfRule>
    <cfRule type="notContainsBlanks" dxfId="194" priority="5489">
      <formula>LEN(TRIM(I25))&gt;0</formula>
    </cfRule>
  </conditionalFormatting>
  <conditionalFormatting sqref="Q18:Q19">
    <cfRule type="expression" dxfId="193" priority="6">
      <formula>$C18=""</formula>
    </cfRule>
    <cfRule type="notContainsBlanks" dxfId="192" priority="7">
      <formula>LEN(TRIM(Q18))&gt;0</formula>
    </cfRule>
  </conditionalFormatting>
  <conditionalFormatting sqref="Q25:Q26">
    <cfRule type="notContainsBlanks" dxfId="191" priority="3">
      <formula>LEN(TRIM(Q25))&gt;0</formula>
    </cfRule>
    <cfRule type="expression" dxfId="190" priority="2">
      <formula>$C25=""</formula>
    </cfRule>
  </conditionalFormatting>
  <pageMargins left="0.7" right="0.7" top="0.75" bottom="0.75" header="0.3" footer="0.3"/>
  <pageSetup paperSize="9" orientation="portrait" r:id="rId1"/>
  <headerFooter>
    <oddFooter>&amp;L_x000D_&amp;1#&amp;"Calibri"&amp;10&amp;K000000 Intern gebruik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8C1A4-AB32-43F0-9108-19DCD828E534}">
  <sheetPr codeName="Blad6">
    <tabColor theme="7" tint="0.79998168889431442"/>
  </sheetPr>
  <dimension ref="A1:Y128"/>
  <sheetViews>
    <sheetView zoomScale="70" zoomScaleNormal="70" workbookViewId="0">
      <selection activeCell="C21" sqref="C21:H26"/>
    </sheetView>
  </sheetViews>
  <sheetFormatPr defaultColWidth="8.85546875" defaultRowHeight="12"/>
  <cols>
    <col min="1" max="1" width="8.85546875" style="1"/>
    <col min="2" max="2" width="9" style="1" bestFit="1" customWidth="1"/>
    <col min="3" max="3" width="92.85546875" style="1" customWidth="1"/>
    <col min="4" max="4" width="96.140625" style="1" bestFit="1" customWidth="1"/>
    <col min="5" max="5" width="45.85546875" style="1" customWidth="1"/>
    <col min="6" max="6" width="33.42578125" style="1" customWidth="1"/>
    <col min="7" max="7" width="43.140625" style="1" customWidth="1"/>
    <col min="8" max="8" width="61.28515625" style="1" bestFit="1" customWidth="1"/>
    <col min="9" max="9" width="29.140625" style="1" customWidth="1"/>
    <col min="10" max="10" width="34.140625" style="1" bestFit="1" customWidth="1"/>
    <col min="11" max="11" width="34.5703125" style="1" customWidth="1"/>
    <col min="12" max="12" width="33.42578125" style="1" customWidth="1"/>
    <col min="13" max="18" width="20.5703125" style="1" customWidth="1"/>
    <col min="19" max="19" width="31.7109375" style="1" customWidth="1"/>
    <col min="20" max="20" width="5.85546875" style="1" customWidth="1"/>
    <col min="21" max="21" width="4.7109375" style="1" customWidth="1"/>
    <col min="22" max="22" width="14.28515625" style="1" customWidth="1"/>
    <col min="23" max="23" width="17" style="1" customWidth="1"/>
    <col min="24" max="24" width="63.7109375" style="1" bestFit="1" customWidth="1"/>
    <col min="25" max="25" width="43.42578125" style="1" bestFit="1" customWidth="1"/>
    <col min="26" max="26" width="20.140625" style="1" bestFit="1" customWidth="1"/>
    <col min="27" max="27" width="32.140625" style="1" bestFit="1" customWidth="1"/>
    <col min="28" max="28" width="30.140625" style="1" bestFit="1" customWidth="1"/>
    <col min="29" max="29" width="20.42578125" style="1" bestFit="1" customWidth="1"/>
    <col min="30" max="30" width="23.85546875" style="1" bestFit="1" customWidth="1"/>
    <col min="31" max="16384" width="8.85546875" style="1"/>
  </cols>
  <sheetData>
    <row r="1" spans="1:25" ht="18">
      <c r="A1" s="4" t="s">
        <v>431</v>
      </c>
      <c r="E1" s="6"/>
      <c r="F1" s="6"/>
      <c r="G1" s="6"/>
      <c r="H1" s="6"/>
      <c r="W1" s="8"/>
      <c r="X1" s="8"/>
      <c r="Y1" s="8"/>
    </row>
    <row r="2" spans="1:25" ht="18"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3" spans="1:25" ht="18">
      <c r="H3" s="6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</row>
    <row r="4" spans="1:25" ht="18">
      <c r="E4" s="6"/>
      <c r="F4" s="6"/>
      <c r="G4" s="6"/>
      <c r="H4" s="6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</row>
    <row r="5" spans="1:25" ht="25.5" customHeight="1"/>
    <row r="7" spans="1:25" ht="23.25">
      <c r="B7" s="347">
        <v>1</v>
      </c>
      <c r="C7" s="250" t="s">
        <v>578</v>
      </c>
      <c r="F7" s="39" t="s">
        <v>398</v>
      </c>
    </row>
    <row r="8" spans="1:25" ht="33.950000000000003" customHeight="1">
      <c r="B8" s="348"/>
      <c r="C8" s="192"/>
      <c r="F8" s="40" t="s">
        <v>397</v>
      </c>
    </row>
    <row r="9" spans="1:25" ht="20.100000000000001" customHeight="1"/>
    <row r="10" spans="1:25" ht="20.100000000000001" customHeight="1">
      <c r="C10" s="395" t="s">
        <v>540</v>
      </c>
    </row>
    <row r="11" spans="1:25" ht="25.5" customHeight="1">
      <c r="B11" s="347">
        <v>2</v>
      </c>
      <c r="C11" s="396"/>
      <c r="D11" s="350" t="s">
        <v>579</v>
      </c>
      <c r="E11" s="352" t="s">
        <v>418</v>
      </c>
      <c r="F11" s="353"/>
      <c r="G11" s="354"/>
    </row>
    <row r="12" spans="1:25" ht="20.25" customHeight="1">
      <c r="B12" s="349"/>
      <c r="C12" s="222" t="s">
        <v>483</v>
      </c>
      <c r="D12" s="351"/>
      <c r="E12" s="355"/>
      <c r="F12" s="356"/>
      <c r="G12" s="357"/>
    </row>
    <row r="13" spans="1:25" ht="69" customHeight="1">
      <c r="B13" s="349"/>
      <c r="C13" s="195" t="s">
        <v>481</v>
      </c>
      <c r="D13" s="251"/>
      <c r="E13" s="358"/>
      <c r="F13" s="359"/>
      <c r="G13" s="360"/>
    </row>
    <row r="14" spans="1:25" ht="80.25" customHeight="1">
      <c r="B14" s="349"/>
      <c r="C14" s="196" t="s">
        <v>482</v>
      </c>
      <c r="D14" s="251"/>
      <c r="E14" s="358"/>
      <c r="F14" s="359"/>
      <c r="G14" s="360"/>
    </row>
    <row r="15" spans="1:25" ht="102.75" customHeight="1"/>
    <row r="16" spans="1:25" ht="20.25" customHeight="1"/>
    <row r="17" spans="2:19" ht="20.25" customHeight="1">
      <c r="C17" s="395" t="s">
        <v>544</v>
      </c>
    </row>
    <row r="18" spans="2:19" ht="20.25">
      <c r="B18" s="404">
        <v>3</v>
      </c>
      <c r="C18" s="396"/>
      <c r="D18" s="402" t="str">
        <f>CONCATENATE("plan: ",$C$8)</f>
        <v xml:space="preserve">plan: </v>
      </c>
      <c r="E18" s="181" t="s">
        <v>348</v>
      </c>
      <c r="F18" s="165" t="s">
        <v>349</v>
      </c>
      <c r="G18" s="165" t="s">
        <v>2</v>
      </c>
      <c r="H18" s="165" t="s">
        <v>350</v>
      </c>
      <c r="I18" s="165" t="s">
        <v>351</v>
      </c>
      <c r="J18" s="175" t="s">
        <v>346</v>
      </c>
      <c r="K18" s="239"/>
    </row>
    <row r="19" spans="2:19" ht="20.25" customHeight="1">
      <c r="B19" s="405"/>
      <c r="C19" s="223" t="s">
        <v>483</v>
      </c>
      <c r="D19" s="403"/>
      <c r="E19" s="181"/>
      <c r="F19" s="165"/>
      <c r="G19" s="165"/>
      <c r="H19" s="165"/>
      <c r="I19" s="165"/>
      <c r="J19" s="175"/>
      <c r="K19" s="240"/>
    </row>
    <row r="20" spans="2:19" ht="20.25">
      <c r="B20" s="405"/>
      <c r="C20" s="378" t="s">
        <v>509</v>
      </c>
      <c r="D20" s="182" t="s">
        <v>516</v>
      </c>
      <c r="E20" s="176">
        <f>SUM(E23:E31)</f>
        <v>0</v>
      </c>
      <c r="F20" s="176">
        <f>SUM(F23:F31)</f>
        <v>0</v>
      </c>
      <c r="G20" s="176">
        <f>SUM(G23:G31)</f>
        <v>0</v>
      </c>
      <c r="H20" s="176">
        <f>SUM(H23:H31)</f>
        <v>0</v>
      </c>
      <c r="I20" s="176">
        <f>SUM(I23:I31)</f>
        <v>0</v>
      </c>
      <c r="J20" s="177">
        <f>SUM(E20:I20)</f>
        <v>0</v>
      </c>
      <c r="K20" s="240"/>
    </row>
    <row r="21" spans="2:19" ht="20.25">
      <c r="B21" s="405"/>
      <c r="C21" s="379"/>
      <c r="D21" s="178"/>
      <c r="E21" s="178"/>
      <c r="F21" s="179"/>
      <c r="G21" s="179"/>
      <c r="H21" s="179"/>
      <c r="I21" s="179"/>
      <c r="J21" s="179"/>
      <c r="K21" s="240"/>
    </row>
    <row r="22" spans="2:19" ht="20.25">
      <c r="B22" s="405"/>
      <c r="C22" s="379"/>
      <c r="D22" s="98" t="s">
        <v>428</v>
      </c>
      <c r="E22" s="180" t="s">
        <v>511</v>
      </c>
      <c r="F22" s="180"/>
      <c r="G22" s="180"/>
      <c r="H22" s="180"/>
      <c r="I22" s="180"/>
      <c r="J22" s="180"/>
      <c r="K22" s="240"/>
    </row>
    <row r="23" spans="2:19" ht="20.25">
      <c r="B23" s="405"/>
      <c r="C23" s="379"/>
      <c r="D23" s="155" t="s">
        <v>479</v>
      </c>
      <c r="E23" s="13"/>
      <c r="F23" s="13"/>
      <c r="G23" s="13"/>
      <c r="H23" s="13"/>
      <c r="I23" s="13"/>
      <c r="J23" s="157">
        <f>SUM(E23:I23)</f>
        <v>0</v>
      </c>
      <c r="K23" s="240"/>
    </row>
    <row r="24" spans="2:19" ht="20.25">
      <c r="B24" s="405"/>
      <c r="C24" s="379"/>
      <c r="D24" s="155" t="s">
        <v>478</v>
      </c>
      <c r="E24" s="13"/>
      <c r="F24" s="13"/>
      <c r="G24" s="13"/>
      <c r="H24" s="13"/>
      <c r="I24" s="13"/>
      <c r="J24" s="157">
        <f t="shared" ref="J24:J30" si="0">SUM(E24:I24)</f>
        <v>0</v>
      </c>
      <c r="K24" s="240"/>
    </row>
    <row r="25" spans="2:19" ht="20.25">
      <c r="B25" s="405"/>
      <c r="C25" s="379"/>
      <c r="D25" s="155" t="s">
        <v>477</v>
      </c>
      <c r="E25" s="13"/>
      <c r="F25" s="13"/>
      <c r="G25" s="13"/>
      <c r="H25" s="13"/>
      <c r="I25" s="13"/>
      <c r="J25" s="157">
        <f t="shared" si="0"/>
        <v>0</v>
      </c>
      <c r="K25" s="240"/>
      <c r="M25" s="352" t="s">
        <v>621</v>
      </c>
      <c r="N25" s="353"/>
      <c r="O25" s="353"/>
      <c r="P25" s="353"/>
      <c r="Q25" s="353"/>
      <c r="R25" s="353"/>
      <c r="S25" s="354"/>
    </row>
    <row r="26" spans="2:19" ht="20.25">
      <c r="B26" s="405"/>
      <c r="C26" s="379"/>
      <c r="D26" s="155" t="s">
        <v>476</v>
      </c>
      <c r="E26" s="13"/>
      <c r="F26" s="13"/>
      <c r="G26" s="13"/>
      <c r="H26" s="13"/>
      <c r="I26" s="13"/>
      <c r="J26" s="157">
        <f t="shared" si="0"/>
        <v>0</v>
      </c>
      <c r="K26" s="240"/>
      <c r="M26" s="355"/>
      <c r="N26" s="356"/>
      <c r="O26" s="356"/>
      <c r="P26" s="356"/>
      <c r="Q26" s="356"/>
      <c r="R26" s="356"/>
      <c r="S26" s="357"/>
    </row>
    <row r="27" spans="2:19" ht="23.25" customHeight="1">
      <c r="B27" s="405"/>
      <c r="C27" s="379"/>
      <c r="D27" s="155" t="s">
        <v>475</v>
      </c>
      <c r="E27" s="13"/>
      <c r="F27" s="13"/>
      <c r="G27" s="13"/>
      <c r="H27" s="13"/>
      <c r="I27" s="13"/>
      <c r="J27" s="157">
        <f t="shared" si="0"/>
        <v>0</v>
      </c>
      <c r="K27" s="240"/>
      <c r="M27" s="369"/>
      <c r="N27" s="370"/>
      <c r="O27" s="370"/>
      <c r="P27" s="370"/>
      <c r="Q27" s="370"/>
      <c r="R27" s="370"/>
      <c r="S27" s="371"/>
    </row>
    <row r="28" spans="2:19" ht="20.25" customHeight="1">
      <c r="B28" s="405"/>
      <c r="C28" s="379"/>
      <c r="D28" s="155" t="s">
        <v>474</v>
      </c>
      <c r="E28" s="13"/>
      <c r="F28" s="13"/>
      <c r="G28" s="13"/>
      <c r="H28" s="13"/>
      <c r="I28" s="13"/>
      <c r="J28" s="157">
        <f t="shared" si="0"/>
        <v>0</v>
      </c>
      <c r="K28" s="240"/>
      <c r="M28" s="372"/>
      <c r="N28" s="373"/>
      <c r="O28" s="373"/>
      <c r="P28" s="373"/>
      <c r="Q28" s="373"/>
      <c r="R28" s="373"/>
      <c r="S28" s="374"/>
    </row>
    <row r="29" spans="2:19" ht="20.25" customHeight="1">
      <c r="B29" s="405"/>
      <c r="C29" s="379"/>
      <c r="D29" s="155" t="s">
        <v>355</v>
      </c>
      <c r="E29" s="13"/>
      <c r="F29" s="13"/>
      <c r="G29" s="13"/>
      <c r="H29" s="13"/>
      <c r="I29" s="13"/>
      <c r="J29" s="157">
        <f t="shared" si="0"/>
        <v>0</v>
      </c>
      <c r="K29" s="240"/>
      <c r="M29" s="372"/>
      <c r="N29" s="373"/>
      <c r="O29" s="373"/>
      <c r="P29" s="373"/>
      <c r="Q29" s="373"/>
      <c r="R29" s="373"/>
      <c r="S29" s="374"/>
    </row>
    <row r="30" spans="2:19" ht="20.25" customHeight="1">
      <c r="B30" s="405"/>
      <c r="C30" s="379"/>
      <c r="D30" s="155" t="s">
        <v>356</v>
      </c>
      <c r="E30" s="13"/>
      <c r="F30" s="13"/>
      <c r="G30" s="13"/>
      <c r="H30" s="13"/>
      <c r="I30" s="13"/>
      <c r="J30" s="157">
        <f t="shared" si="0"/>
        <v>0</v>
      </c>
      <c r="K30" s="240"/>
      <c r="M30" s="372"/>
      <c r="N30" s="373"/>
      <c r="O30" s="373"/>
      <c r="P30" s="373"/>
      <c r="Q30" s="373"/>
      <c r="R30" s="373"/>
      <c r="S30" s="374"/>
    </row>
    <row r="31" spans="2:19" ht="21" customHeight="1">
      <c r="B31" s="405"/>
      <c r="C31" s="379"/>
      <c r="D31" s="155" t="s">
        <v>617</v>
      </c>
      <c r="E31" s="13"/>
      <c r="F31" s="13"/>
      <c r="G31" s="13"/>
      <c r="H31" s="13"/>
      <c r="I31" s="13"/>
      <c r="J31" s="157">
        <f t="shared" ref="J31" si="1">SUM(E31:I31)</f>
        <v>0</v>
      </c>
      <c r="K31" s="241"/>
      <c r="M31" s="375"/>
      <c r="N31" s="376"/>
      <c r="O31" s="376"/>
      <c r="P31" s="376"/>
      <c r="Q31" s="376"/>
      <c r="R31" s="376"/>
      <c r="S31" s="377"/>
    </row>
    <row r="32" spans="2:19" ht="20.25" customHeight="1"/>
    <row r="33" spans="2:19" ht="20.25" customHeight="1"/>
    <row r="34" spans="2:19" ht="20.25" customHeight="1">
      <c r="C34" s="395" t="s">
        <v>544</v>
      </c>
    </row>
    <row r="35" spans="2:19" ht="20.25" customHeight="1">
      <c r="B35" s="404">
        <v>4</v>
      </c>
      <c r="C35" s="396"/>
      <c r="D35" s="402" t="str">
        <f>CONCATENATE("plan: ",$C$8)</f>
        <v xml:space="preserve">plan: </v>
      </c>
      <c r="E35" s="181" t="s">
        <v>348</v>
      </c>
      <c r="F35" s="165" t="s">
        <v>349</v>
      </c>
      <c r="G35" s="165" t="s">
        <v>2</v>
      </c>
      <c r="H35" s="165" t="s">
        <v>350</v>
      </c>
      <c r="I35" s="165" t="s">
        <v>351</v>
      </c>
      <c r="J35" s="266" t="s">
        <v>346</v>
      </c>
      <c r="K35" s="239"/>
    </row>
    <row r="36" spans="2:19" ht="20.25" customHeight="1">
      <c r="B36" s="405"/>
      <c r="C36" s="223" t="s">
        <v>483</v>
      </c>
      <c r="D36" s="403"/>
      <c r="E36" s="181"/>
      <c r="F36" s="165"/>
      <c r="G36" s="165"/>
      <c r="H36" s="165"/>
      <c r="I36" s="165"/>
      <c r="J36" s="266"/>
      <c r="K36" s="240"/>
    </row>
    <row r="37" spans="2:19" ht="20.25" customHeight="1">
      <c r="B37" s="405"/>
      <c r="C37" s="378" t="s">
        <v>510</v>
      </c>
      <c r="D37" s="182" t="s">
        <v>516</v>
      </c>
      <c r="E37" s="176">
        <f>SUM(E40:E48)</f>
        <v>0</v>
      </c>
      <c r="F37" s="176">
        <f>SUM(F40:F48)</f>
        <v>0</v>
      </c>
      <c r="G37" s="176">
        <f>SUM(G40:G48)</f>
        <v>0</v>
      </c>
      <c r="H37" s="176">
        <f>SUM(H40:H48)</f>
        <v>0</v>
      </c>
      <c r="I37" s="176">
        <f>SUM(I40:I48)</f>
        <v>0</v>
      </c>
      <c r="J37" s="267">
        <f>SUM(E37:I37)</f>
        <v>0</v>
      </c>
      <c r="K37" s="240"/>
    </row>
    <row r="38" spans="2:19" ht="20.25" customHeight="1">
      <c r="B38" s="405"/>
      <c r="C38" s="379"/>
      <c r="D38" s="178"/>
      <c r="E38" s="178"/>
      <c r="F38" s="179"/>
      <c r="G38" s="179"/>
      <c r="H38" s="179"/>
      <c r="I38" s="179"/>
      <c r="J38" s="268"/>
      <c r="K38" s="240"/>
    </row>
    <row r="39" spans="2:19" ht="20.25" customHeight="1">
      <c r="B39" s="405"/>
      <c r="C39" s="379"/>
      <c r="D39" s="98" t="s">
        <v>428</v>
      </c>
      <c r="E39" s="180" t="s">
        <v>511</v>
      </c>
      <c r="F39" s="180"/>
      <c r="G39" s="180"/>
      <c r="H39" s="180"/>
      <c r="I39" s="180"/>
      <c r="J39" s="264"/>
      <c r="K39" s="240"/>
    </row>
    <row r="40" spans="2:19" ht="20.25" customHeight="1">
      <c r="B40" s="405"/>
      <c r="C40" s="379"/>
      <c r="D40" s="155" t="s">
        <v>479</v>
      </c>
      <c r="E40" s="13"/>
      <c r="F40" s="13"/>
      <c r="G40" s="13"/>
      <c r="H40" s="13"/>
      <c r="I40" s="13"/>
      <c r="J40" s="269">
        <f>SUM(E40:I40)</f>
        <v>0</v>
      </c>
      <c r="K40" s="240"/>
    </row>
    <row r="41" spans="2:19" ht="26.45" customHeight="1">
      <c r="B41" s="405"/>
      <c r="C41" s="379"/>
      <c r="D41" s="155" t="s">
        <v>478</v>
      </c>
      <c r="E41" s="13"/>
      <c r="F41" s="13"/>
      <c r="G41" s="13"/>
      <c r="H41" s="13"/>
      <c r="I41" s="13"/>
      <c r="J41" s="269">
        <f t="shared" ref="J41:J48" si="2">SUM(E41:I41)</f>
        <v>0</v>
      </c>
      <c r="K41" s="240"/>
    </row>
    <row r="42" spans="2:19" ht="20.25" customHeight="1">
      <c r="B42" s="405"/>
      <c r="C42" s="379"/>
      <c r="D42" s="155" t="s">
        <v>477</v>
      </c>
      <c r="E42" s="13"/>
      <c r="F42" s="13"/>
      <c r="G42" s="13"/>
      <c r="H42" s="13"/>
      <c r="I42" s="13"/>
      <c r="J42" s="269">
        <f t="shared" si="2"/>
        <v>0</v>
      </c>
      <c r="K42" s="240"/>
      <c r="M42" s="352" t="s">
        <v>621</v>
      </c>
      <c r="N42" s="353"/>
      <c r="O42" s="353"/>
      <c r="P42" s="353"/>
      <c r="Q42" s="353"/>
      <c r="R42" s="353"/>
      <c r="S42" s="354"/>
    </row>
    <row r="43" spans="2:19" ht="20.25">
      <c r="B43" s="405"/>
      <c r="C43" s="379"/>
      <c r="D43" s="155" t="s">
        <v>476</v>
      </c>
      <c r="E43" s="13"/>
      <c r="F43" s="13"/>
      <c r="G43" s="13"/>
      <c r="H43" s="13"/>
      <c r="I43" s="13"/>
      <c r="J43" s="269">
        <f t="shared" si="2"/>
        <v>0</v>
      </c>
      <c r="K43" s="240"/>
      <c r="M43" s="355"/>
      <c r="N43" s="356"/>
      <c r="O43" s="356"/>
      <c r="P43" s="356"/>
      <c r="Q43" s="356"/>
      <c r="R43" s="356"/>
      <c r="S43" s="357"/>
    </row>
    <row r="44" spans="2:19" ht="20.25">
      <c r="B44" s="405"/>
      <c r="C44" s="379"/>
      <c r="D44" s="155" t="s">
        <v>475</v>
      </c>
      <c r="E44" s="13"/>
      <c r="F44" s="13"/>
      <c r="G44" s="13"/>
      <c r="H44" s="13"/>
      <c r="I44" s="13"/>
      <c r="J44" s="269">
        <f t="shared" si="2"/>
        <v>0</v>
      </c>
      <c r="K44" s="240"/>
      <c r="M44" s="369"/>
      <c r="N44" s="370"/>
      <c r="O44" s="370"/>
      <c r="P44" s="370"/>
      <c r="Q44" s="370"/>
      <c r="R44" s="370"/>
      <c r="S44" s="371"/>
    </row>
    <row r="45" spans="2:19" ht="20.25" customHeight="1">
      <c r="B45" s="405"/>
      <c r="C45" s="379"/>
      <c r="D45" s="155" t="s">
        <v>474</v>
      </c>
      <c r="E45" s="13"/>
      <c r="F45" s="13"/>
      <c r="G45" s="13"/>
      <c r="H45" s="13"/>
      <c r="I45" s="13"/>
      <c r="J45" s="269">
        <f t="shared" si="2"/>
        <v>0</v>
      </c>
      <c r="K45" s="240"/>
      <c r="M45" s="372"/>
      <c r="N45" s="373"/>
      <c r="O45" s="373"/>
      <c r="P45" s="373"/>
      <c r="Q45" s="373"/>
      <c r="R45" s="373"/>
      <c r="S45" s="374"/>
    </row>
    <row r="46" spans="2:19" ht="20.25" customHeight="1">
      <c r="B46" s="405"/>
      <c r="C46" s="379"/>
      <c r="D46" s="155" t="s">
        <v>355</v>
      </c>
      <c r="E46" s="13"/>
      <c r="F46" s="13"/>
      <c r="G46" s="13"/>
      <c r="H46" s="13"/>
      <c r="I46" s="13"/>
      <c r="J46" s="269">
        <f t="shared" si="2"/>
        <v>0</v>
      </c>
      <c r="K46" s="240"/>
      <c r="M46" s="372"/>
      <c r="N46" s="373"/>
      <c r="O46" s="373"/>
      <c r="P46" s="373"/>
      <c r="Q46" s="373"/>
      <c r="R46" s="373"/>
      <c r="S46" s="374"/>
    </row>
    <row r="47" spans="2:19" ht="20.25" customHeight="1">
      <c r="B47" s="405"/>
      <c r="C47" s="379"/>
      <c r="D47" s="155" t="s">
        <v>356</v>
      </c>
      <c r="E47" s="13"/>
      <c r="F47" s="13"/>
      <c r="G47" s="13"/>
      <c r="H47" s="13"/>
      <c r="I47" s="13"/>
      <c r="J47" s="269">
        <f t="shared" si="2"/>
        <v>0</v>
      </c>
      <c r="K47" s="240"/>
      <c r="M47" s="372"/>
      <c r="N47" s="373"/>
      <c r="O47" s="373"/>
      <c r="P47" s="373"/>
      <c r="Q47" s="373"/>
      <c r="R47" s="373"/>
      <c r="S47" s="374"/>
    </row>
    <row r="48" spans="2:19" ht="20.25" customHeight="1">
      <c r="B48" s="405"/>
      <c r="C48" s="379"/>
      <c r="D48" s="155" t="s">
        <v>617</v>
      </c>
      <c r="E48" s="13"/>
      <c r="F48" s="13"/>
      <c r="G48" s="13"/>
      <c r="H48" s="13"/>
      <c r="I48" s="13"/>
      <c r="J48" s="269">
        <f t="shared" si="2"/>
        <v>0</v>
      </c>
      <c r="K48" s="241"/>
      <c r="M48" s="375"/>
      <c r="N48" s="376"/>
      <c r="O48" s="376"/>
      <c r="P48" s="376"/>
      <c r="Q48" s="376"/>
      <c r="R48" s="376"/>
      <c r="S48" s="377"/>
    </row>
    <row r="49" spans="2:19" ht="20.25" customHeight="1"/>
    <row r="50" spans="2:19" ht="20.25" customHeight="1"/>
    <row r="51" spans="2:19" ht="20.25" customHeight="1"/>
    <row r="52" spans="2:19" ht="20.25" customHeight="1">
      <c r="C52" s="395" t="s">
        <v>545</v>
      </c>
    </row>
    <row r="53" spans="2:19" ht="20.25" customHeight="1">
      <c r="B53" s="347">
        <v>5</v>
      </c>
      <c r="C53" s="396"/>
      <c r="D53" s="340" t="s">
        <v>512</v>
      </c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2"/>
    </row>
    <row r="54" spans="2:19" ht="57.75" customHeight="1">
      <c r="B54" s="349"/>
      <c r="C54" s="222" t="s">
        <v>483</v>
      </c>
      <c r="D54" s="11">
        <v>2025</v>
      </c>
      <c r="E54" s="11">
        <v>2026</v>
      </c>
      <c r="F54" s="11">
        <v>2027</v>
      </c>
      <c r="G54" s="11">
        <v>2028</v>
      </c>
      <c r="H54" s="11">
        <v>2029</v>
      </c>
      <c r="I54" s="11">
        <v>2030</v>
      </c>
      <c r="J54" s="11">
        <v>2031</v>
      </c>
      <c r="K54" s="11">
        <v>2032</v>
      </c>
      <c r="L54" s="11">
        <v>2033</v>
      </c>
      <c r="M54" s="11">
        <v>2034</v>
      </c>
      <c r="N54" s="399" t="s">
        <v>346</v>
      </c>
      <c r="O54" s="400"/>
      <c r="P54" s="400"/>
      <c r="Q54" s="400"/>
      <c r="R54" s="400"/>
      <c r="S54" s="401"/>
    </row>
    <row r="55" spans="2:19" ht="36.75" customHeight="1">
      <c r="B55" s="349"/>
      <c r="C55" s="186" t="s">
        <v>509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381">
        <f>IF((SUM(D55:M55))=(SUM(J20)),SUM(D55:M55),"Aantallen komen niet overeen met aantallen bij onderdeel 2 (ingrepen)")</f>
        <v>0</v>
      </c>
      <c r="O55" s="381"/>
      <c r="P55" s="381"/>
      <c r="Q55" s="381"/>
      <c r="R55" s="381"/>
      <c r="S55" s="382"/>
    </row>
    <row r="56" spans="2:19" ht="32.25" customHeight="1">
      <c r="B56" s="348"/>
      <c r="C56" s="187" t="s">
        <v>510</v>
      </c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380">
        <f>IF((SUM(D56:M56))=(SUM(J37)),SUM(D56:M56),"Aantallen komen niet overeen met aantallen bij onderdeel 2 (ingrepen)")</f>
        <v>0</v>
      </c>
      <c r="O56" s="381"/>
      <c r="P56" s="381"/>
      <c r="Q56" s="381"/>
      <c r="R56" s="381"/>
      <c r="S56" s="382"/>
    </row>
    <row r="57" spans="2:19" ht="35.25" customHeight="1"/>
    <row r="58" spans="2:19" ht="31.5" customHeight="1"/>
    <row r="59" spans="2:19" ht="31.5" customHeight="1">
      <c r="C59" s="395" t="s">
        <v>546</v>
      </c>
    </row>
    <row r="60" spans="2:19" ht="66" customHeight="1">
      <c r="B60" s="347">
        <v>6</v>
      </c>
      <c r="C60" s="396"/>
      <c r="D60" s="397" t="s">
        <v>513</v>
      </c>
      <c r="E60" s="397" t="s">
        <v>626</v>
      </c>
    </row>
    <row r="61" spans="2:19" ht="64.5" customHeight="1">
      <c r="B61" s="349"/>
      <c r="C61" s="224" t="s">
        <v>483</v>
      </c>
      <c r="D61" s="398"/>
      <c r="E61" s="398"/>
    </row>
    <row r="62" spans="2:19" ht="38.25" customHeight="1">
      <c r="B62" s="348"/>
      <c r="C62" s="186" t="s">
        <v>509</v>
      </c>
      <c r="D62" s="193"/>
      <c r="E62" s="194">
        <v>0</v>
      </c>
      <c r="F62" s="270" t="s">
        <v>619</v>
      </c>
      <c r="G62" s="271"/>
      <c r="H62" s="271"/>
      <c r="I62" s="271"/>
      <c r="J62" s="271"/>
      <c r="K62" s="271"/>
      <c r="L62" s="271"/>
      <c r="M62" s="271"/>
      <c r="N62" s="271"/>
      <c r="O62" s="271"/>
      <c r="P62" s="271"/>
      <c r="Q62" s="271"/>
      <c r="R62" s="271"/>
    </row>
    <row r="65" spans="2:18" ht="12" customHeight="1">
      <c r="B65" s="347">
        <v>7</v>
      </c>
      <c r="C65" s="406" t="s">
        <v>483</v>
      </c>
      <c r="D65" s="397" t="s">
        <v>514</v>
      </c>
      <c r="E65" s="397" t="s">
        <v>626</v>
      </c>
    </row>
    <row r="66" spans="2:18" ht="75" customHeight="1">
      <c r="B66" s="349"/>
      <c r="C66" s="407"/>
      <c r="D66" s="398"/>
      <c r="E66" s="398"/>
    </row>
    <row r="67" spans="2:18" ht="22.5" customHeight="1">
      <c r="B67" s="349"/>
      <c r="C67" s="187" t="s">
        <v>510</v>
      </c>
      <c r="D67" s="185"/>
      <c r="E67" s="194">
        <v>0</v>
      </c>
      <c r="F67" s="270" t="s">
        <v>634</v>
      </c>
      <c r="G67" s="271"/>
      <c r="H67" s="271"/>
      <c r="I67" s="271"/>
      <c r="J67" s="271"/>
      <c r="K67" s="271"/>
      <c r="L67" s="271"/>
      <c r="M67" s="271"/>
      <c r="N67" s="271"/>
      <c r="O67" s="271"/>
      <c r="P67" s="271"/>
      <c r="Q67" s="271"/>
      <c r="R67" s="271"/>
    </row>
    <row r="68" spans="2:18" ht="11.45" customHeight="1">
      <c r="F68" s="271"/>
      <c r="G68" s="271"/>
      <c r="H68" s="271"/>
      <c r="I68" s="271"/>
      <c r="J68" s="271"/>
      <c r="K68" s="271"/>
      <c r="L68" s="271"/>
      <c r="M68" s="271"/>
      <c r="N68" s="271"/>
      <c r="O68" s="271"/>
      <c r="P68" s="271"/>
      <c r="Q68" s="271"/>
      <c r="R68" s="271"/>
    </row>
    <row r="71" spans="2:18">
      <c r="C71" s="395" t="s">
        <v>625</v>
      </c>
    </row>
    <row r="72" spans="2:18" ht="37.5" customHeight="1">
      <c r="B72" s="383">
        <v>8</v>
      </c>
      <c r="C72" s="396"/>
      <c r="D72" s="225"/>
      <c r="E72" s="226"/>
      <c r="F72" s="227"/>
      <c r="G72" s="228"/>
    </row>
    <row r="73" spans="2:18" ht="45.75" customHeight="1">
      <c r="B73" s="384"/>
      <c r="C73" s="394" t="s">
        <v>520</v>
      </c>
      <c r="D73" s="394"/>
      <c r="E73" s="408" t="s">
        <v>627</v>
      </c>
      <c r="F73" s="409"/>
      <c r="G73" s="410"/>
    </row>
    <row r="74" spans="2:18" ht="12" customHeight="1">
      <c r="B74" s="384"/>
      <c r="C74" s="386"/>
      <c r="D74" s="388"/>
      <c r="E74" s="386"/>
      <c r="F74" s="387"/>
      <c r="G74" s="388"/>
    </row>
    <row r="75" spans="2:18" ht="12" customHeight="1">
      <c r="B75" s="384"/>
      <c r="C75" s="389"/>
      <c r="D75" s="390"/>
      <c r="E75" s="389"/>
      <c r="F75" s="299"/>
      <c r="G75" s="390"/>
    </row>
    <row r="76" spans="2:18" ht="12" customHeight="1">
      <c r="B76" s="384"/>
      <c r="C76" s="389"/>
      <c r="D76" s="390"/>
      <c r="E76" s="389"/>
      <c r="F76" s="299"/>
      <c r="G76" s="390"/>
    </row>
    <row r="77" spans="2:18" ht="12" customHeight="1">
      <c r="B77" s="384"/>
      <c r="C77" s="389"/>
      <c r="D77" s="390"/>
      <c r="E77" s="389"/>
      <c r="F77" s="299"/>
      <c r="G77" s="390"/>
    </row>
    <row r="78" spans="2:18" ht="12" customHeight="1">
      <c r="B78" s="384"/>
      <c r="C78" s="389"/>
      <c r="D78" s="390"/>
      <c r="E78" s="389"/>
      <c r="F78" s="299"/>
      <c r="G78" s="390"/>
    </row>
    <row r="79" spans="2:18" ht="12" customHeight="1">
      <c r="B79" s="384"/>
      <c r="C79" s="389"/>
      <c r="D79" s="390"/>
      <c r="E79" s="389"/>
      <c r="F79" s="299"/>
      <c r="G79" s="390"/>
    </row>
    <row r="80" spans="2:18" ht="12" customHeight="1">
      <c r="B80" s="384"/>
      <c r="C80" s="389"/>
      <c r="D80" s="390"/>
      <c r="E80" s="389"/>
      <c r="F80" s="299"/>
      <c r="G80" s="390"/>
    </row>
    <row r="81" spans="2:15" ht="12" customHeight="1">
      <c r="B81" s="384"/>
      <c r="C81" s="389"/>
      <c r="D81" s="390"/>
      <c r="E81" s="389"/>
      <c r="F81" s="299"/>
      <c r="G81" s="390"/>
    </row>
    <row r="82" spans="2:15" ht="12" customHeight="1">
      <c r="B82" s="384"/>
      <c r="C82" s="389"/>
      <c r="D82" s="390"/>
      <c r="E82" s="389"/>
      <c r="F82" s="299"/>
      <c r="G82" s="390"/>
    </row>
    <row r="83" spans="2:15" ht="12" customHeight="1">
      <c r="B83" s="384"/>
      <c r="C83" s="389"/>
      <c r="D83" s="390"/>
      <c r="E83" s="389"/>
      <c r="F83" s="299"/>
      <c r="G83" s="390"/>
    </row>
    <row r="84" spans="2:15" ht="12" customHeight="1">
      <c r="B84" s="384"/>
      <c r="C84" s="389"/>
      <c r="D84" s="390"/>
      <c r="E84" s="389"/>
      <c r="F84" s="299"/>
      <c r="G84" s="390"/>
    </row>
    <row r="85" spans="2:15" ht="12" customHeight="1">
      <c r="B85" s="384"/>
      <c r="C85" s="389"/>
      <c r="D85" s="390"/>
      <c r="E85" s="389"/>
      <c r="F85" s="299"/>
      <c r="G85" s="390"/>
    </row>
    <row r="86" spans="2:15" ht="12" customHeight="1">
      <c r="B86" s="384"/>
      <c r="C86" s="389"/>
      <c r="D86" s="390"/>
      <c r="E86" s="389"/>
      <c r="F86" s="299"/>
      <c r="G86" s="390"/>
    </row>
    <row r="87" spans="2:15" ht="12" customHeight="1">
      <c r="B87" s="384"/>
      <c r="C87" s="389"/>
      <c r="D87" s="390"/>
      <c r="E87" s="389"/>
      <c r="F87" s="299"/>
      <c r="G87" s="390"/>
    </row>
    <row r="88" spans="2:15" ht="12" customHeight="1">
      <c r="B88" s="384"/>
      <c r="C88" s="389"/>
      <c r="D88" s="390"/>
      <c r="E88" s="389"/>
      <c r="F88" s="299"/>
      <c r="G88" s="390"/>
    </row>
    <row r="89" spans="2:15" ht="12" customHeight="1">
      <c r="B89" s="384"/>
      <c r="C89" s="389"/>
      <c r="D89" s="390"/>
      <c r="E89" s="389"/>
      <c r="F89" s="299"/>
      <c r="G89" s="390"/>
    </row>
    <row r="90" spans="2:15" ht="12" customHeight="1">
      <c r="B90" s="384"/>
      <c r="C90" s="389"/>
      <c r="D90" s="390"/>
      <c r="E90" s="389"/>
      <c r="F90" s="299"/>
      <c r="G90" s="390"/>
    </row>
    <row r="91" spans="2:15" ht="12" customHeight="1">
      <c r="B91" s="384"/>
      <c r="C91" s="389"/>
      <c r="D91" s="390"/>
      <c r="E91" s="389"/>
      <c r="F91" s="299"/>
      <c r="G91" s="390"/>
    </row>
    <row r="92" spans="2:15" ht="12" customHeight="1">
      <c r="B92" s="385"/>
      <c r="C92" s="391"/>
      <c r="D92" s="393"/>
      <c r="E92" s="391"/>
      <c r="F92" s="392"/>
      <c r="G92" s="393"/>
    </row>
    <row r="95" spans="2:15" ht="12.75" thickBot="1"/>
    <row r="96" spans="2:15" ht="25.5">
      <c r="C96" s="19" t="s">
        <v>4</v>
      </c>
      <c r="D96" s="21" t="str">
        <f>START!$D$6</f>
        <v>[selecteer]</v>
      </c>
      <c r="G96" s="324" t="s">
        <v>396</v>
      </c>
      <c r="H96" s="325"/>
      <c r="I96" s="326"/>
      <c r="J96" s="174"/>
      <c r="K96" s="174"/>
      <c r="L96" s="174"/>
      <c r="M96" s="174"/>
      <c r="N96" s="174"/>
      <c r="O96" s="173"/>
    </row>
    <row r="97" spans="3:15" ht="20.25" customHeight="1">
      <c r="C97" s="19" t="s">
        <v>412</v>
      </c>
      <c r="D97" s="20" t="str">
        <f>START!$D$8</f>
        <v>[selecteer]</v>
      </c>
      <c r="G97" s="15"/>
      <c r="O97" s="14"/>
    </row>
    <row r="98" spans="3:15" ht="20.25" customHeight="1">
      <c r="C98" s="19" t="s">
        <v>408</v>
      </c>
      <c r="D98" s="20" t="str">
        <f>IF(ISERROR(START!V1),IF(START!$W$1=0,"Vul in op tabblad START",START!D14),START!D10)</f>
        <v>Vul in op tabblad START</v>
      </c>
      <c r="G98" s="156"/>
      <c r="H98" s="402" t="str">
        <f>D18</f>
        <v xml:space="preserve">plan: </v>
      </c>
      <c r="I98" s="172" t="s">
        <v>348</v>
      </c>
      <c r="J98" s="172" t="s">
        <v>349</v>
      </c>
      <c r="K98" s="172" t="s">
        <v>2</v>
      </c>
      <c r="L98" s="172" t="s">
        <v>350</v>
      </c>
      <c r="M98" s="172" t="s">
        <v>351</v>
      </c>
      <c r="N98" s="171" t="s">
        <v>346</v>
      </c>
      <c r="O98" s="14"/>
    </row>
    <row r="99" spans="3:15" ht="23.25" customHeight="1">
      <c r="G99" s="156"/>
      <c r="H99" s="403"/>
      <c r="I99" s="170"/>
      <c r="J99" s="170"/>
      <c r="K99" s="170"/>
      <c r="L99" s="170"/>
      <c r="M99" s="170"/>
      <c r="N99" s="169"/>
      <c r="O99" s="14"/>
    </row>
    <row r="100" spans="3:15" ht="23.25">
      <c r="C100" s="19" t="s">
        <v>521</v>
      </c>
      <c r="D100" s="22" t="e">
        <f>D13/D119</f>
        <v>#DIV/0!</v>
      </c>
      <c r="G100" s="156"/>
      <c r="H100" s="168" t="s">
        <v>473</v>
      </c>
      <c r="I100" s="167">
        <f>SUM(I103:I111)</f>
        <v>0</v>
      </c>
      <c r="J100" s="167">
        <f>SUM(J103:J111)</f>
        <v>0</v>
      </c>
      <c r="K100" s="167">
        <f>SUM(K103:K111)</f>
        <v>0</v>
      </c>
      <c r="L100" s="167">
        <f>SUM(L103:L111)</f>
        <v>0</v>
      </c>
      <c r="M100" s="167">
        <f>SUM(M103:M111)</f>
        <v>0</v>
      </c>
      <c r="N100" s="166">
        <f>SUM(I100:M100)</f>
        <v>0</v>
      </c>
      <c r="O100" s="14"/>
    </row>
    <row r="101" spans="3:15" ht="23.25">
      <c r="C101" s="19" t="s">
        <v>522</v>
      </c>
      <c r="D101" s="22" t="e">
        <f>D14/D126</f>
        <v>#DIV/0!</v>
      </c>
      <c r="G101" s="156"/>
      <c r="H101" s="164"/>
      <c r="I101" s="197"/>
      <c r="J101" s="198"/>
      <c r="K101" s="198"/>
      <c r="L101" s="198"/>
      <c r="M101" s="198"/>
      <c r="N101" s="163"/>
      <c r="O101" s="14"/>
    </row>
    <row r="102" spans="3:15" ht="20.25">
      <c r="G102" s="156"/>
      <c r="H102" s="162" t="s">
        <v>480</v>
      </c>
      <c r="I102" s="161" t="s">
        <v>517</v>
      </c>
      <c r="J102" s="199"/>
      <c r="K102" s="199"/>
      <c r="L102" s="199"/>
      <c r="M102" s="199"/>
      <c r="N102" s="160"/>
      <c r="O102" s="14"/>
    </row>
    <row r="103" spans="3:15" ht="20.25">
      <c r="G103" s="156"/>
      <c r="H103" s="155" t="s">
        <v>479</v>
      </c>
      <c r="I103" s="159">
        <f>Verduurzamingsplannen!E23*'Kengetal verduurzamen'!$C$4</f>
        <v>0</v>
      </c>
      <c r="J103" s="159">
        <f>Verduurzamingsplannen!F23*'Kengetal verduurzamen'!$C$5</f>
        <v>0</v>
      </c>
      <c r="K103" s="159">
        <f>Verduurzamingsplannen!G23*'Kengetal verduurzamen'!$C$6</f>
        <v>0</v>
      </c>
      <c r="L103" s="159">
        <f>Verduurzamingsplannen!H23*'Kengetal verduurzamen'!$C$7</f>
        <v>0</v>
      </c>
      <c r="M103" s="159">
        <f>(Verduurzamingsplannen!I23*'Kengetal verduurzamen'!$C$8)</f>
        <v>0</v>
      </c>
      <c r="N103" s="158">
        <f t="shared" ref="N103:N109" si="3">SUM(I103:M103)</f>
        <v>0</v>
      </c>
      <c r="O103" s="14"/>
    </row>
    <row r="104" spans="3:15" ht="23.25">
      <c r="C104" s="322" t="s">
        <v>515</v>
      </c>
      <c r="D104" s="323"/>
      <c r="G104" s="156"/>
      <c r="H104" s="155" t="s">
        <v>478</v>
      </c>
      <c r="I104" s="154">
        <f>E24*'Kengetal verduurzamen'!$C$10</f>
        <v>0</v>
      </c>
      <c r="J104" s="154">
        <f>F24*'Kengetal verduurzamen'!$C$11</f>
        <v>0</v>
      </c>
      <c r="K104" s="154">
        <f>G24*'Kengetal verduurzamen'!$C$12</f>
        <v>0</v>
      </c>
      <c r="L104" s="154">
        <f>H24*'Kengetal verduurzamen'!$C$13</f>
        <v>0</v>
      </c>
      <c r="M104" s="154">
        <f>I24*'Kengetal verduurzamen'!$C$14</f>
        <v>0</v>
      </c>
      <c r="N104" s="153">
        <f t="shared" si="3"/>
        <v>0</v>
      </c>
      <c r="O104" s="14"/>
    </row>
    <row r="105" spans="3:15" ht="23.25">
      <c r="C105" s="19" t="s">
        <v>395</v>
      </c>
      <c r="D105" s="31">
        <f>D62</f>
        <v>0</v>
      </c>
      <c r="G105" s="156"/>
      <c r="H105" s="155" t="s">
        <v>477</v>
      </c>
      <c r="I105" s="154">
        <f>E25*'Kengetal verduurzamen'!$C$16</f>
        <v>0</v>
      </c>
      <c r="J105" s="154">
        <f>F25*'Kengetal verduurzamen'!$C$17</f>
        <v>0</v>
      </c>
      <c r="K105" s="154">
        <f>G25*'Kengetal verduurzamen'!$C$18</f>
        <v>0</v>
      </c>
      <c r="L105" s="154">
        <f>H25*'Kengetal verduurzamen'!$C$19</f>
        <v>0</v>
      </c>
      <c r="M105" s="154">
        <f>I25*'Kengetal verduurzamen'!$C$20</f>
        <v>0</v>
      </c>
      <c r="N105" s="153">
        <f t="shared" si="3"/>
        <v>0</v>
      </c>
      <c r="O105" s="14"/>
    </row>
    <row r="106" spans="3:15" ht="23.25">
      <c r="C106" s="19" t="s">
        <v>516</v>
      </c>
      <c r="D106" s="20">
        <f>J20</f>
        <v>0</v>
      </c>
      <c r="G106" s="156"/>
      <c r="H106" s="155" t="s">
        <v>476</v>
      </c>
      <c r="I106" s="154">
        <f>E26*'Kengetal verduurzamen'!$C$22</f>
        <v>0</v>
      </c>
      <c r="J106" s="154">
        <f>F26*'Kengetal verduurzamen'!$C$23</f>
        <v>0</v>
      </c>
      <c r="K106" s="154">
        <f>G26*'Kengetal verduurzamen'!$C$24</f>
        <v>0</v>
      </c>
      <c r="L106" s="154">
        <f>H26*'Kengetal verduurzamen'!$C$25</f>
        <v>0</v>
      </c>
      <c r="M106" s="154">
        <f>I26*'Kengetal verduurzamen'!$C$26</f>
        <v>0</v>
      </c>
      <c r="N106" s="153">
        <f t="shared" si="3"/>
        <v>0</v>
      </c>
      <c r="O106" s="14"/>
    </row>
    <row r="107" spans="3:15" ht="23.25">
      <c r="C107" s="19" t="s">
        <v>392</v>
      </c>
      <c r="D107" s="23">
        <f>IFERROR(-SUM(N100),"-")</f>
        <v>0</v>
      </c>
      <c r="G107" s="156"/>
      <c r="H107" s="155" t="s">
        <v>475</v>
      </c>
      <c r="I107" s="154">
        <f>E27*'Kengetal verduurzamen'!$C$28</f>
        <v>0</v>
      </c>
      <c r="J107" s="154">
        <f>F27*'Kengetal verduurzamen'!$C$29</f>
        <v>0</v>
      </c>
      <c r="K107" s="154">
        <f>G27*'Kengetal verduurzamen'!$C$30</f>
        <v>0</v>
      </c>
      <c r="L107" s="154">
        <f>H27*'Kengetal verduurzamen'!$C$31</f>
        <v>0</v>
      </c>
      <c r="M107" s="154">
        <f>I27*'Kengetal verduurzamen'!$C$32</f>
        <v>0</v>
      </c>
      <c r="N107" s="153">
        <f t="shared" si="3"/>
        <v>0</v>
      </c>
      <c r="O107" s="14"/>
    </row>
    <row r="108" spans="3:15" ht="31.5" customHeight="1">
      <c r="C108" s="19" t="s">
        <v>384</v>
      </c>
      <c r="D108" s="24">
        <f>D62*E62</f>
        <v>0</v>
      </c>
      <c r="G108" s="156"/>
      <c r="H108" s="155" t="s">
        <v>474</v>
      </c>
      <c r="I108" s="154">
        <f>E28*'Kengetal verduurzamen'!$C$34</f>
        <v>0</v>
      </c>
      <c r="J108" s="154">
        <f>F28*'Kengetal verduurzamen'!$C$35</f>
        <v>0</v>
      </c>
      <c r="K108" s="154">
        <f>G28*'Kengetal verduurzamen'!$C$36</f>
        <v>0</v>
      </c>
      <c r="L108" s="154">
        <f>H28*'Kengetal verduurzamen'!$C$37</f>
        <v>0</v>
      </c>
      <c r="M108" s="154">
        <f>I28*'Kengetal verduurzamen'!$C$38</f>
        <v>0</v>
      </c>
      <c r="N108" s="153">
        <f t="shared" si="3"/>
        <v>0</v>
      </c>
      <c r="O108" s="14"/>
    </row>
    <row r="109" spans="3:15" ht="18" customHeight="1">
      <c r="G109" s="156"/>
      <c r="H109" s="155" t="s">
        <v>355</v>
      </c>
      <c r="I109" s="154">
        <f>E29*'Kengetal verduurzamen'!$C$40</f>
        <v>0</v>
      </c>
      <c r="J109" s="154">
        <f>F29*'Kengetal verduurzamen'!$C$41</f>
        <v>0</v>
      </c>
      <c r="K109" s="154">
        <f>G29*'Kengetal verduurzamen'!$C$42</f>
        <v>0</v>
      </c>
      <c r="L109" s="154">
        <f>H29*'Kengetal verduurzamen'!$C$43</f>
        <v>0</v>
      </c>
      <c r="M109" s="154">
        <f>I29*'Kengetal verduurzamen'!$C$44</f>
        <v>0</v>
      </c>
      <c r="N109" s="153">
        <f t="shared" si="3"/>
        <v>0</v>
      </c>
      <c r="O109" s="14"/>
    </row>
    <row r="110" spans="3:15" ht="23.25">
      <c r="C110" s="322" t="s">
        <v>519</v>
      </c>
      <c r="D110" s="323"/>
      <c r="G110" s="156"/>
      <c r="H110" s="155" t="s">
        <v>356</v>
      </c>
      <c r="I110" s="154">
        <f>E30*'Kengetal verduurzamen'!$C$46</f>
        <v>0</v>
      </c>
      <c r="J110" s="154">
        <f>F30*'Kengetal verduurzamen'!$C$47</f>
        <v>0</v>
      </c>
      <c r="K110" s="154">
        <f>G30*'Kengetal verduurzamen'!$C$48</f>
        <v>0</v>
      </c>
      <c r="L110" s="154">
        <f>H30*'Kengetal verduurzamen'!$C$49</f>
        <v>0</v>
      </c>
      <c r="M110" s="154">
        <f>I30*'Kengetal verduurzamen'!$C$50</f>
        <v>0</v>
      </c>
      <c r="N110" s="153">
        <f t="shared" ref="N110" si="4">SUM(I110:M110)</f>
        <v>0</v>
      </c>
      <c r="O110" s="14"/>
    </row>
    <row r="111" spans="3:15" ht="23.25">
      <c r="C111" s="19" t="s">
        <v>395</v>
      </c>
      <c r="D111" s="31">
        <f>D67</f>
        <v>0</v>
      </c>
      <c r="G111" s="156"/>
      <c r="H111" s="155" t="s">
        <v>617</v>
      </c>
      <c r="I111" s="154">
        <f>E31*KENGETALLEN!D92</f>
        <v>0</v>
      </c>
      <c r="J111" s="154">
        <f>F31*KENGETALLEN!E92</f>
        <v>0</v>
      </c>
      <c r="K111" s="154">
        <f>G31*KENGETALLEN!F92</f>
        <v>0</v>
      </c>
      <c r="L111" s="154">
        <f>H31*KENGETALLEN!G92</f>
        <v>0</v>
      </c>
      <c r="M111" s="154">
        <f>I31*KENGETALLEN!H92</f>
        <v>0</v>
      </c>
      <c r="N111" s="153">
        <f t="shared" ref="N111" si="5">SUM(I111:M111)</f>
        <v>0</v>
      </c>
      <c r="O111" s="14"/>
    </row>
    <row r="112" spans="3:15" ht="23.25">
      <c r="C112" s="19" t="s">
        <v>516</v>
      </c>
      <c r="D112" s="20">
        <f>J37</f>
        <v>0</v>
      </c>
      <c r="G112" s="156"/>
      <c r="O112" s="14"/>
    </row>
    <row r="113" spans="3:15" ht="26.45" customHeight="1">
      <c r="C113" s="19" t="s">
        <v>392</v>
      </c>
      <c r="D113" s="23">
        <f>IFERROR(-SUM(N115),"-")</f>
        <v>0</v>
      </c>
      <c r="G113" s="156"/>
      <c r="H113" s="402" t="str">
        <f>D18</f>
        <v xml:space="preserve">plan: </v>
      </c>
      <c r="I113" s="172" t="s">
        <v>348</v>
      </c>
      <c r="J113" s="172" t="s">
        <v>349</v>
      </c>
      <c r="K113" s="172" t="s">
        <v>2</v>
      </c>
      <c r="L113" s="172" t="s">
        <v>350</v>
      </c>
      <c r="M113" s="172" t="s">
        <v>351</v>
      </c>
      <c r="N113" s="171" t="s">
        <v>346</v>
      </c>
      <c r="O113" s="14"/>
    </row>
    <row r="114" spans="3:15" ht="23.25">
      <c r="C114" s="19" t="s">
        <v>384</v>
      </c>
      <c r="D114" s="24">
        <f>D67*E67</f>
        <v>0</v>
      </c>
      <c r="G114" s="156"/>
      <c r="H114" s="403"/>
      <c r="I114" s="170"/>
      <c r="J114" s="170"/>
      <c r="K114" s="170"/>
      <c r="L114" s="170"/>
      <c r="M114" s="170"/>
      <c r="N114" s="169"/>
      <c r="O114" s="14"/>
    </row>
    <row r="115" spans="3:15" ht="20.25">
      <c r="G115" s="156"/>
      <c r="H115" s="168" t="s">
        <v>473</v>
      </c>
      <c r="I115" s="167">
        <f>SUM(I118:I126)</f>
        <v>0</v>
      </c>
      <c r="J115" s="167">
        <f>SUM(J118:J126)</f>
        <v>0</v>
      </c>
      <c r="K115" s="167">
        <f>SUM(K118:K126)</f>
        <v>0</v>
      </c>
      <c r="L115" s="167">
        <f>SUM(L118:L126)</f>
        <v>0</v>
      </c>
      <c r="M115" s="167">
        <f>SUM(M118:M126)</f>
        <v>0</v>
      </c>
      <c r="N115" s="166">
        <f>SUM(I115:M115)</f>
        <v>0</v>
      </c>
      <c r="O115" s="14"/>
    </row>
    <row r="116" spans="3:15" ht="23.25">
      <c r="C116" s="322" t="s">
        <v>574</v>
      </c>
      <c r="D116" s="323"/>
      <c r="E116" s="103"/>
      <c r="G116" s="156"/>
      <c r="H116" s="164"/>
      <c r="I116" s="197"/>
      <c r="J116" s="198"/>
      <c r="K116" s="198"/>
      <c r="L116" s="198"/>
      <c r="M116" s="198"/>
      <c r="N116" s="163"/>
      <c r="O116" s="14"/>
    </row>
    <row r="117" spans="3:15" ht="23.25">
      <c r="C117" s="19" t="s">
        <v>393</v>
      </c>
      <c r="D117" s="201">
        <f>D107</f>
        <v>0</v>
      </c>
      <c r="G117" s="156"/>
      <c r="H117" s="162" t="s">
        <v>480</v>
      </c>
      <c r="I117" s="161" t="s">
        <v>518</v>
      </c>
      <c r="J117" s="199"/>
      <c r="K117" s="199"/>
      <c r="L117" s="199"/>
      <c r="M117" s="199"/>
      <c r="N117" s="160"/>
      <c r="O117" s="14"/>
    </row>
    <row r="118" spans="3:15" ht="23.25">
      <c r="C118" s="19" t="s">
        <v>394</v>
      </c>
      <c r="D118" s="201">
        <f>D108</f>
        <v>0</v>
      </c>
      <c r="G118" s="156"/>
      <c r="H118" s="155" t="s">
        <v>479</v>
      </c>
      <c r="I118" s="159">
        <f>Verduurzamingsplannen!E40*'Kengetal verduurzamen'!$C$4</f>
        <v>0</v>
      </c>
      <c r="J118" s="159">
        <f>Verduurzamingsplannen!F40*'Kengetal verduurzamen'!$C$5</f>
        <v>0</v>
      </c>
      <c r="K118" s="159">
        <f>Verduurzamingsplannen!G40*'Kengetal verduurzamen'!$C$6</f>
        <v>0</v>
      </c>
      <c r="L118" s="159">
        <f>Verduurzamingsplannen!H40*'Kengetal verduurzamen'!$C$7</f>
        <v>0</v>
      </c>
      <c r="M118" s="159">
        <f>(Verduurzamingsplannen!I40*'Kengetal verduurzamen'!$C$8)</f>
        <v>0</v>
      </c>
      <c r="N118" s="158">
        <f t="shared" ref="N118:N124" si="6">SUM(I118:M118)</f>
        <v>0</v>
      </c>
      <c r="O118" s="14"/>
    </row>
    <row r="119" spans="3:15" ht="23.25">
      <c r="C119" s="19" t="str">
        <f>IFERROR(IF(D119&gt;0.01,"Rendement","Financieel tekort"),"Financieel tekort")</f>
        <v>Financieel tekort</v>
      </c>
      <c r="D119" s="23">
        <f>IFERROR(D117+D118,"-")</f>
        <v>0</v>
      </c>
      <c r="G119" s="156"/>
      <c r="H119" s="155" t="s">
        <v>478</v>
      </c>
      <c r="I119" s="154">
        <f>E41*'Kengetal verduurzamen'!$C$10</f>
        <v>0</v>
      </c>
      <c r="J119" s="154">
        <f>F41*'Kengetal verduurzamen'!$C$11</f>
        <v>0</v>
      </c>
      <c r="K119" s="154">
        <f>G41*'Kengetal verduurzamen'!$C$12</f>
        <v>0</v>
      </c>
      <c r="L119" s="154">
        <f>H41*'Kengetal verduurzamen'!$C$13</f>
        <v>0</v>
      </c>
      <c r="M119" s="154">
        <f>I41*'Kengetal verduurzamen'!$C$14</f>
        <v>0</v>
      </c>
      <c r="N119" s="153">
        <f t="shared" si="6"/>
        <v>0</v>
      </c>
      <c r="O119" s="14"/>
    </row>
    <row r="120" spans="3:15" ht="23.25">
      <c r="C120" s="19" t="s">
        <v>521</v>
      </c>
      <c r="D120" s="201" t="str">
        <f>IF(D119&lt;0,((D13)*1),"geen financieel tekort")</f>
        <v>geen financieel tekort</v>
      </c>
      <c r="G120" s="156"/>
      <c r="H120" s="155" t="s">
        <v>477</v>
      </c>
      <c r="I120" s="154">
        <f>E42*'Kengetal verduurzamen'!$C$16</f>
        <v>0</v>
      </c>
      <c r="J120" s="154">
        <f>F42*'Kengetal verduurzamen'!$C$17</f>
        <v>0</v>
      </c>
      <c r="K120" s="154">
        <f>G42*'Kengetal verduurzamen'!$C$18</f>
        <v>0</v>
      </c>
      <c r="L120" s="154">
        <f>H42*'Kengetal verduurzamen'!$C$19</f>
        <v>0</v>
      </c>
      <c r="M120" s="154">
        <f>I42*'Kengetal verduurzamen'!$C$20</f>
        <v>0</v>
      </c>
      <c r="N120" s="153">
        <f t="shared" si="6"/>
        <v>0</v>
      </c>
      <c r="O120" s="14"/>
    </row>
    <row r="121" spans="3:15" ht="23.25">
      <c r="C121" s="19" t="s">
        <v>573</v>
      </c>
      <c r="D121" s="203" t="str">
        <f>IF(D119&gt;=0,"geen financieel tekort",D119+D120)</f>
        <v>geen financieel tekort</v>
      </c>
      <c r="E121" s="1" t="str">
        <f>IF(D121="geen financieel tekort"," ",(IF(D121&gt;0,"LET OP: GEEN FINANCIEEL TEKORT"," ")))</f>
        <v xml:space="preserve"> </v>
      </c>
      <c r="G121" s="156"/>
      <c r="H121" s="155" t="s">
        <v>476</v>
      </c>
      <c r="I121" s="154">
        <f>E43*'Kengetal verduurzamen'!$C$22</f>
        <v>0</v>
      </c>
      <c r="J121" s="154">
        <f>F43*'Kengetal verduurzamen'!$C$23</f>
        <v>0</v>
      </c>
      <c r="K121" s="154">
        <f>G43*'Kengetal verduurzamen'!$C$24</f>
        <v>0</v>
      </c>
      <c r="L121" s="154">
        <f>H43*'Kengetal verduurzamen'!$C$25</f>
        <v>0</v>
      </c>
      <c r="M121" s="154">
        <f>I43*'Kengetal verduurzamen'!$C$26</f>
        <v>0</v>
      </c>
      <c r="N121" s="153">
        <f t="shared" si="6"/>
        <v>0</v>
      </c>
      <c r="O121" s="14"/>
    </row>
    <row r="122" spans="3:15" ht="20.25">
      <c r="G122" s="156"/>
      <c r="H122" s="155" t="s">
        <v>475</v>
      </c>
      <c r="I122" s="154">
        <f>E44*'Kengetal verduurzamen'!$C$28</f>
        <v>0</v>
      </c>
      <c r="J122" s="154">
        <f>F44*'Kengetal verduurzamen'!$C$29</f>
        <v>0</v>
      </c>
      <c r="K122" s="154">
        <f>G44*'Kengetal verduurzamen'!$C$30</f>
        <v>0</v>
      </c>
      <c r="L122" s="154">
        <f>H44*'Kengetal verduurzamen'!$C$31</f>
        <v>0</v>
      </c>
      <c r="M122" s="154">
        <f>I44*'Kengetal verduurzamen'!$C$32</f>
        <v>0</v>
      </c>
      <c r="N122" s="153">
        <f t="shared" si="6"/>
        <v>0</v>
      </c>
      <c r="O122" s="14"/>
    </row>
    <row r="123" spans="3:15" ht="23.25">
      <c r="C123" s="322" t="s">
        <v>575</v>
      </c>
      <c r="D123" s="323"/>
      <c r="G123" s="156"/>
      <c r="H123" s="155" t="s">
        <v>474</v>
      </c>
      <c r="I123" s="154">
        <f>E45*'Kengetal verduurzamen'!$C$34</f>
        <v>0</v>
      </c>
      <c r="J123" s="154">
        <f>F45*'Kengetal verduurzamen'!$C$35</f>
        <v>0</v>
      </c>
      <c r="K123" s="154">
        <f>G45*'Kengetal verduurzamen'!$C$36</f>
        <v>0</v>
      </c>
      <c r="L123" s="154">
        <f>H45*'Kengetal verduurzamen'!$C$37</f>
        <v>0</v>
      </c>
      <c r="M123" s="154">
        <f>I45*'Kengetal verduurzamen'!$C$38</f>
        <v>0</v>
      </c>
      <c r="N123" s="153">
        <f t="shared" si="6"/>
        <v>0</v>
      </c>
      <c r="O123" s="14"/>
    </row>
    <row r="124" spans="3:15" ht="23.25">
      <c r="C124" s="19" t="s">
        <v>393</v>
      </c>
      <c r="D124" s="201">
        <f>D113</f>
        <v>0</v>
      </c>
      <c r="G124" s="156"/>
      <c r="H124" s="155" t="s">
        <v>355</v>
      </c>
      <c r="I124" s="154">
        <f>E46*'Kengetal verduurzamen'!$C$40</f>
        <v>0</v>
      </c>
      <c r="J124" s="154">
        <f>F46*'Kengetal verduurzamen'!$C$41</f>
        <v>0</v>
      </c>
      <c r="K124" s="154">
        <f>G46*'Kengetal verduurzamen'!$C$42</f>
        <v>0</v>
      </c>
      <c r="L124" s="154">
        <f>H46*'Kengetal verduurzamen'!$C$43</f>
        <v>0</v>
      </c>
      <c r="M124" s="154">
        <f>I46*'Kengetal verduurzamen'!$C$44</f>
        <v>0</v>
      </c>
      <c r="N124" s="153">
        <f t="shared" si="6"/>
        <v>0</v>
      </c>
      <c r="O124" s="14"/>
    </row>
    <row r="125" spans="3:15" ht="23.25">
      <c r="C125" s="19" t="s">
        <v>394</v>
      </c>
      <c r="D125" s="201">
        <f>D114</f>
        <v>0</v>
      </c>
      <c r="G125" s="156"/>
      <c r="H125" s="155" t="s">
        <v>356</v>
      </c>
      <c r="I125" s="154">
        <f>E47*'Kengetal verduurzamen'!$C$46</f>
        <v>0</v>
      </c>
      <c r="J125" s="154">
        <f>F47*'Kengetal verduurzamen'!$C$47</f>
        <v>0</v>
      </c>
      <c r="K125" s="154">
        <f>G47*'Kengetal verduurzamen'!$C$48</f>
        <v>0</v>
      </c>
      <c r="L125" s="154">
        <f>H47*'Kengetal verduurzamen'!$C$49</f>
        <v>0</v>
      </c>
      <c r="M125" s="154">
        <f>I47*'Kengetal verduurzamen'!$C$50</f>
        <v>0</v>
      </c>
      <c r="N125" s="153">
        <f t="shared" ref="N125" si="7">SUM(I125:M125)</f>
        <v>0</v>
      </c>
      <c r="O125" s="14"/>
    </row>
    <row r="126" spans="3:15" ht="23.25">
      <c r="C126" s="19" t="str">
        <f>IFERROR(IF(D126&gt;0.01,"Rendement","Financieel tekort"),"Financieel tekort")</f>
        <v>Financieel tekort</v>
      </c>
      <c r="D126" s="23">
        <f>IFERROR(D124+D125,"-")</f>
        <v>0</v>
      </c>
      <c r="G126" s="156"/>
      <c r="H126" s="155" t="s">
        <v>617</v>
      </c>
      <c r="I126" s="154">
        <f>E48*KENGETALLEN!D92</f>
        <v>0</v>
      </c>
      <c r="J126" s="154">
        <f>F48*KENGETALLEN!E92</f>
        <v>0</v>
      </c>
      <c r="K126" s="154">
        <f>G48*KENGETALLEN!F92</f>
        <v>0</v>
      </c>
      <c r="L126" s="154">
        <f>H48*KENGETALLEN!G92</f>
        <v>0</v>
      </c>
      <c r="M126" s="154">
        <f>I48*KENGETALLEN!H92</f>
        <v>0</v>
      </c>
      <c r="N126" s="153">
        <f t="shared" ref="N126" si="8">SUM(I126:M126)</f>
        <v>0</v>
      </c>
      <c r="O126" s="14"/>
    </row>
    <row r="127" spans="3:15" ht="23.25">
      <c r="C127" s="19" t="s">
        <v>522</v>
      </c>
      <c r="D127" s="201" t="str">
        <f>IF(D126&lt;0,((D14)*1),"geen financieel tekort")</f>
        <v>geen financieel tekort</v>
      </c>
      <c r="G127" s="156"/>
      <c r="O127" s="14"/>
    </row>
    <row r="128" spans="3:15" ht="24" thickBot="1">
      <c r="C128" s="19" t="s">
        <v>573</v>
      </c>
      <c r="D128" s="203" t="str">
        <f>IF(D126&gt;=0,"geen financieel tekort",D126+D127)</f>
        <v>geen financieel tekort</v>
      </c>
      <c r="E128" s="1" t="str">
        <f>IF(D128="geen financieel tekort"," ",(IF(D128&gt;0,"LET OP: GEEN FINANCIEEL TEKORT"," ")))</f>
        <v xml:space="preserve"> </v>
      </c>
      <c r="G128" s="200"/>
      <c r="H128" s="17"/>
      <c r="I128" s="17"/>
      <c r="J128" s="17"/>
      <c r="K128" s="17"/>
      <c r="L128" s="17"/>
      <c r="M128" s="17"/>
      <c r="N128" s="17"/>
      <c r="O128" s="18"/>
    </row>
  </sheetData>
  <sheetProtection algorithmName="SHA-512" hashValue="+yaI0qkPc9rf5hn/9jA4TgE34wqAjVKCIBvOgmhkZHYegY3X4T4mCdlv9IJYgWTmzjQud8Alu2APrcB8LAaKDw==" saltValue="C2gKnKddAKpOL32EqdFadg==" spinCount="100000" sheet="1" sort="0"/>
  <protectedRanges>
    <protectedRange sqref="C8 D13:G15 D62:E62 C74:G92 D55:M56 E23:I31 E40:I48 M27:O27 M44:O44 D67:E67" name="Invullen verduurzamen2"/>
  </protectedRanges>
  <mergeCells count="46">
    <mergeCell ref="C123:D123"/>
    <mergeCell ref="C65:C66"/>
    <mergeCell ref="H113:H114"/>
    <mergeCell ref="H98:H99"/>
    <mergeCell ref="C110:D110"/>
    <mergeCell ref="C104:D104"/>
    <mergeCell ref="C116:D116"/>
    <mergeCell ref="E65:E66"/>
    <mergeCell ref="G96:I96"/>
    <mergeCell ref="E73:G73"/>
    <mergeCell ref="E11:G12"/>
    <mergeCell ref="E13:G13"/>
    <mergeCell ref="E14:G14"/>
    <mergeCell ref="D53:S53"/>
    <mergeCell ref="B7:B8"/>
    <mergeCell ref="D18:D19"/>
    <mergeCell ref="D11:D12"/>
    <mergeCell ref="C17:C18"/>
    <mergeCell ref="C34:C35"/>
    <mergeCell ref="B11:B14"/>
    <mergeCell ref="C10:C11"/>
    <mergeCell ref="C52:C53"/>
    <mergeCell ref="D35:D36"/>
    <mergeCell ref="B18:B31"/>
    <mergeCell ref="C37:C48"/>
    <mergeCell ref="B35:B48"/>
    <mergeCell ref="N56:S56"/>
    <mergeCell ref="B72:B92"/>
    <mergeCell ref="E74:G92"/>
    <mergeCell ref="B60:B62"/>
    <mergeCell ref="C74:D92"/>
    <mergeCell ref="C73:D73"/>
    <mergeCell ref="C71:C72"/>
    <mergeCell ref="D60:D61"/>
    <mergeCell ref="D65:D66"/>
    <mergeCell ref="B53:B56"/>
    <mergeCell ref="B65:B67"/>
    <mergeCell ref="C59:C60"/>
    <mergeCell ref="E60:E61"/>
    <mergeCell ref="N54:S54"/>
    <mergeCell ref="N55:S55"/>
    <mergeCell ref="M42:S43"/>
    <mergeCell ref="M44:S48"/>
    <mergeCell ref="M25:S26"/>
    <mergeCell ref="M27:S31"/>
    <mergeCell ref="C20:C31"/>
  </mergeCells>
  <conditionalFormatting sqref="C8">
    <cfRule type="notContainsBlanks" dxfId="189" priority="253">
      <formula>LEN(TRIM(C8))&gt;0</formula>
    </cfRule>
  </conditionalFormatting>
  <conditionalFormatting sqref="C74:G92">
    <cfRule type="notContainsBlanks" dxfId="188" priority="42">
      <formula>LEN(TRIM(C74))&gt;0</formula>
    </cfRule>
  </conditionalFormatting>
  <conditionalFormatting sqref="D13:D14">
    <cfRule type="notContainsBlanks" dxfId="187" priority="63">
      <formula>LEN(TRIM(D13))&gt;0</formula>
    </cfRule>
  </conditionalFormatting>
  <conditionalFormatting sqref="D35">
    <cfRule type="expression" dxfId="186" priority="80">
      <formula>#REF!=""</formula>
    </cfRule>
  </conditionalFormatting>
  <conditionalFormatting sqref="D62">
    <cfRule type="notContainsBlanks" dxfId="185" priority="307">
      <formula>LEN(TRIM(D62))&gt;0</formula>
    </cfRule>
  </conditionalFormatting>
  <conditionalFormatting sqref="D97:D98">
    <cfRule type="containsText" dxfId="184" priority="256" operator="containsText" text="!!!">
      <formula>NOT(ISERROR(SEARCH("!!!",D97)))</formula>
    </cfRule>
  </conditionalFormatting>
  <conditionalFormatting sqref="D105:D106">
    <cfRule type="containsText" dxfId="183" priority="290" operator="containsText" text="!!!">
      <formula>NOT(ISERROR(SEARCH("!!!",D105)))</formula>
    </cfRule>
  </conditionalFormatting>
  <conditionalFormatting sqref="D111:D112">
    <cfRule type="containsText" dxfId="182" priority="46" operator="containsText" text="!!!">
      <formula>NOT(ISERROR(SEARCH("!!!",D111)))</formula>
    </cfRule>
  </conditionalFormatting>
  <conditionalFormatting sqref="D120">
    <cfRule type="cellIs" dxfId="181" priority="30" operator="greaterThan">
      <formula>0</formula>
    </cfRule>
    <cfRule type="containsText" dxfId="180" priority="31" operator="containsText" text="geen">
      <formula>NOT(ISERROR(SEARCH("geen",D120)))</formula>
    </cfRule>
  </conditionalFormatting>
  <conditionalFormatting sqref="D127">
    <cfRule type="cellIs" dxfId="179" priority="36" operator="greaterThan">
      <formula>0</formula>
    </cfRule>
    <cfRule type="containsText" dxfId="178" priority="37" operator="containsText" text="geen">
      <formula>NOT(ISERROR(SEARCH("geen",D127)))</formula>
    </cfRule>
  </conditionalFormatting>
  <conditionalFormatting sqref="D13:E14">
    <cfRule type="containsBlanks" dxfId="177" priority="56">
      <formula>LEN(TRIM(D13))=0</formula>
    </cfRule>
    <cfRule type="expression" dxfId="176" priority="55">
      <formula>$C13=""</formula>
    </cfRule>
  </conditionalFormatting>
  <conditionalFormatting sqref="D62:E62">
    <cfRule type="expression" dxfId="175" priority="5983">
      <formula>$C$19=""</formula>
    </cfRule>
    <cfRule type="containsBlanks" dxfId="174" priority="5984">
      <formula>LEN(TRIM(D62))=0</formula>
    </cfRule>
  </conditionalFormatting>
  <conditionalFormatting sqref="D67:E67">
    <cfRule type="expression" dxfId="173" priority="2">
      <formula>$C$19=""</formula>
    </cfRule>
    <cfRule type="containsBlanks" dxfId="172" priority="3">
      <formula>LEN(TRIM(D67))=0</formula>
    </cfRule>
  </conditionalFormatting>
  <conditionalFormatting sqref="D31:J31">
    <cfRule type="expression" dxfId="171" priority="20">
      <formula>#REF!=""</formula>
    </cfRule>
  </conditionalFormatting>
  <conditionalFormatting sqref="D37:J47">
    <cfRule type="expression" dxfId="170" priority="28">
      <formula>#REF!=""</formula>
    </cfRule>
  </conditionalFormatting>
  <conditionalFormatting sqref="D48:J48">
    <cfRule type="expression" dxfId="169" priority="17">
      <formula>#REF!=""</formula>
    </cfRule>
  </conditionalFormatting>
  <conditionalFormatting sqref="D55:M56 D67">
    <cfRule type="notContainsBlanks" dxfId="168" priority="5931">
      <formula>LEN(TRIM(D55))&gt;0</formula>
    </cfRule>
  </conditionalFormatting>
  <conditionalFormatting sqref="D55:M56">
    <cfRule type="containsBlanks" dxfId="167" priority="5930">
      <formula>LEN(TRIM(D55))=0</formula>
    </cfRule>
    <cfRule type="expression" dxfId="166" priority="5929">
      <formula>$C$19=""</formula>
    </cfRule>
  </conditionalFormatting>
  <conditionalFormatting sqref="E22">
    <cfRule type="expression" dxfId="165" priority="77">
      <formula>#REF!=""</formula>
    </cfRule>
  </conditionalFormatting>
  <conditionalFormatting sqref="E62">
    <cfRule type="notContainsBlanks" dxfId="164" priority="67">
      <formula>LEN(TRIM(E62))&gt;0</formula>
    </cfRule>
  </conditionalFormatting>
  <conditionalFormatting sqref="E67">
    <cfRule type="notContainsBlanks" dxfId="163" priority="1">
      <formula>LEN(TRIM(E67))&gt;0</formula>
    </cfRule>
  </conditionalFormatting>
  <conditionalFormatting sqref="E13:G14">
    <cfRule type="notContainsBlanks" dxfId="162" priority="54">
      <formula>LEN(TRIM(E13))&gt;0</formula>
    </cfRule>
  </conditionalFormatting>
  <conditionalFormatting sqref="E20:I20 E23:I30 I103:M110 I118:M125">
    <cfRule type="notContainsBlanks" dxfId="161" priority="301">
      <formula>LEN(TRIM(E20))&gt;0</formula>
    </cfRule>
  </conditionalFormatting>
  <conditionalFormatting sqref="E31:I31">
    <cfRule type="notContainsBlanks" dxfId="160" priority="21">
      <formula>LEN(TRIM(E31))&gt;0</formula>
    </cfRule>
  </conditionalFormatting>
  <conditionalFormatting sqref="E37:I37">
    <cfRule type="notContainsBlanks" dxfId="159" priority="211">
      <formula>LEN(TRIM(E37))&gt;0</formula>
    </cfRule>
  </conditionalFormatting>
  <conditionalFormatting sqref="E40:I47">
    <cfRule type="notContainsBlanks" dxfId="158" priority="29">
      <formula>LEN(TRIM(E40))&gt;0</formula>
    </cfRule>
  </conditionalFormatting>
  <conditionalFormatting sqref="E48:I48">
    <cfRule type="notContainsBlanks" dxfId="157" priority="18">
      <formula>LEN(TRIM(E48))&gt;0</formula>
    </cfRule>
  </conditionalFormatting>
  <conditionalFormatting sqref="E35:J36">
    <cfRule type="expression" dxfId="156" priority="210">
      <formula>#REF!=""</formula>
    </cfRule>
  </conditionalFormatting>
  <conditionalFormatting sqref="H113">
    <cfRule type="expression" dxfId="155" priority="48">
      <formula>#REF!=""</formula>
    </cfRule>
  </conditionalFormatting>
  <conditionalFormatting sqref="H98:N98 I99:N99">
    <cfRule type="expression" dxfId="154" priority="295">
      <formula>#REF!=""</formula>
    </cfRule>
  </conditionalFormatting>
  <conditionalFormatting sqref="H100:N110 H115:N125 D18:J18 E19:J19 D20:J21 D22 F22:J22 D23:J30">
    <cfRule type="expression" dxfId="153" priority="300">
      <formula>#REF!=""</formula>
    </cfRule>
  </conditionalFormatting>
  <conditionalFormatting sqref="H111:N111">
    <cfRule type="expression" dxfId="152" priority="15">
      <formula>#REF!=""</formula>
    </cfRule>
  </conditionalFormatting>
  <conditionalFormatting sqref="H126:N126">
    <cfRule type="expression" dxfId="151" priority="13">
      <formula>#REF!=""</formula>
    </cfRule>
  </conditionalFormatting>
  <conditionalFormatting sqref="I100:M100">
    <cfRule type="notContainsBlanks" dxfId="150" priority="296">
      <formula>LEN(TRIM(I100))&gt;0</formula>
    </cfRule>
  </conditionalFormatting>
  <conditionalFormatting sqref="I111:M111">
    <cfRule type="notContainsBlanks" dxfId="149" priority="16">
      <formula>LEN(TRIM(I111))&gt;0</formula>
    </cfRule>
  </conditionalFormatting>
  <conditionalFormatting sqref="I115:M115">
    <cfRule type="notContainsBlanks" dxfId="148" priority="52">
      <formula>LEN(TRIM(I115))&gt;0</formula>
    </cfRule>
  </conditionalFormatting>
  <conditionalFormatting sqref="I126:M126">
    <cfRule type="notContainsBlanks" dxfId="147" priority="14">
      <formula>LEN(TRIM(I126))&gt;0</formula>
    </cfRule>
  </conditionalFormatting>
  <conditionalFormatting sqref="I113:N114">
    <cfRule type="expression" dxfId="146" priority="51">
      <formula>#REF!=""</formula>
    </cfRule>
  </conditionalFormatting>
  <conditionalFormatting sqref="M27">
    <cfRule type="notContainsBlanks" dxfId="145" priority="7">
      <formula>LEN(TRIM(M27))&gt;0</formula>
    </cfRule>
    <cfRule type="containsBlanks" dxfId="144" priority="9">
      <formula>LEN(TRIM(M27))=0</formula>
    </cfRule>
    <cfRule type="expression" dxfId="143" priority="8">
      <formula>$C27=""</formula>
    </cfRule>
  </conditionalFormatting>
  <conditionalFormatting sqref="M44">
    <cfRule type="notContainsBlanks" dxfId="142" priority="4">
      <formula>LEN(TRIM(M44))&gt;0</formula>
    </cfRule>
    <cfRule type="expression" dxfId="141" priority="5">
      <formula>$C44=""</formula>
    </cfRule>
    <cfRule type="containsBlanks" dxfId="140" priority="6">
      <formula>LEN(TRIM(M44))=0</formula>
    </cfRule>
  </conditionalFormatting>
  <conditionalFormatting sqref="N55">
    <cfRule type="expression" dxfId="139" priority="119">
      <formula>AND(($J$20&gt;0),SUM($D$55:$N$55)=$J$20)</formula>
    </cfRule>
    <cfRule type="expression" dxfId="138" priority="122">
      <formula>NOT(SUM($D$55:$N$55)=$J$20)</formula>
    </cfRule>
  </conditionalFormatting>
  <conditionalFormatting sqref="N56">
    <cfRule type="expression" dxfId="137" priority="107">
      <formula>AND(($J$37&gt;0),SUM($D$56:$N$56)=$J$37)</formula>
    </cfRule>
    <cfRule type="expression" dxfId="136" priority="109">
      <formula>NOT(SUM($D$56:$N$56)=$J$37)</formula>
    </cfRule>
  </conditionalFormatting>
  <pageMargins left="0.7" right="0.7" top="0.75" bottom="0.75" header="0.3" footer="0.3"/>
  <pageSetup paperSize="9" orientation="portrait" r:id="rId1"/>
  <headerFooter>
    <oddFooter>&amp;L_x000D_&amp;1#&amp;"Calibri"&amp;10&amp;K000000 Intern gebruik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7C2D7-1A00-4052-B0F0-4D1852A0A4D4}">
  <sheetPr codeName="Blad7">
    <tabColor theme="7" tint="0.79998168889431442"/>
  </sheetPr>
  <dimension ref="A1:AM255"/>
  <sheetViews>
    <sheetView topLeftCell="A5" zoomScale="50" zoomScaleNormal="50" workbookViewId="0">
      <selection activeCell="C21" sqref="C21:H26"/>
    </sheetView>
  </sheetViews>
  <sheetFormatPr defaultColWidth="8.85546875" defaultRowHeight="12"/>
  <cols>
    <col min="1" max="2" width="8.85546875" style="1"/>
    <col min="3" max="3" width="72.7109375" style="1" customWidth="1"/>
    <col min="4" max="4" width="46.85546875" style="1" customWidth="1"/>
    <col min="5" max="5" width="39.85546875" style="1" customWidth="1"/>
    <col min="6" max="6" width="50.28515625" style="1" bestFit="1" customWidth="1"/>
    <col min="7" max="7" width="28" style="1" bestFit="1" customWidth="1"/>
    <col min="8" max="8" width="33.42578125" style="1" customWidth="1"/>
    <col min="9" max="9" width="41.5703125" style="1" customWidth="1"/>
    <col min="10" max="10" width="48.85546875" style="1" customWidth="1"/>
    <col min="11" max="11" width="48.5703125" style="1" bestFit="1" customWidth="1"/>
    <col min="12" max="12" width="35" style="1" customWidth="1"/>
    <col min="13" max="13" width="10.140625" style="1" customWidth="1"/>
    <col min="14" max="14" width="96.28515625" style="1" customWidth="1"/>
    <col min="15" max="15" width="73" style="1" customWidth="1"/>
    <col min="16" max="16" width="17" style="1" customWidth="1"/>
    <col min="17" max="17" width="17.5703125" style="1" customWidth="1"/>
    <col min="18" max="18" width="20.42578125" style="1" customWidth="1"/>
    <col min="19" max="19" width="4.7109375" style="1" customWidth="1"/>
    <col min="20" max="20" width="34.28515625" style="1" customWidth="1"/>
    <col min="21" max="21" width="65.85546875" style="1" customWidth="1"/>
    <col min="22" max="22" width="18.42578125" style="1" customWidth="1"/>
    <col min="23" max="23" width="17.28515625" style="1" customWidth="1"/>
    <col min="24" max="24" width="20" style="1" customWidth="1"/>
    <col min="25" max="25" width="18.85546875" style="1" customWidth="1"/>
    <col min="26" max="26" width="17.5703125" style="1" customWidth="1"/>
    <col min="27" max="27" width="17.42578125" style="1" customWidth="1"/>
    <col min="28" max="29" width="15" style="1" customWidth="1"/>
    <col min="30" max="30" width="15.42578125" style="1" customWidth="1"/>
    <col min="31" max="31" width="18.85546875" style="1" customWidth="1"/>
    <col min="32" max="32" width="14.5703125" style="1" customWidth="1"/>
    <col min="33" max="33" width="21.140625" style="1" customWidth="1"/>
    <col min="34" max="34" width="8.85546875" style="1"/>
    <col min="35" max="35" width="31" style="1" customWidth="1"/>
    <col min="36" max="36" width="23.140625" style="1" customWidth="1"/>
    <col min="37" max="37" width="17" style="1" customWidth="1"/>
    <col min="38" max="38" width="28.42578125" style="1" customWidth="1"/>
    <col min="39" max="39" width="17.5703125" style="1" customWidth="1"/>
    <col min="40" max="40" width="33.140625" style="1" customWidth="1"/>
    <col min="41" max="41" width="21" style="1" customWidth="1"/>
    <col min="42" max="42" width="20" style="1" customWidth="1"/>
    <col min="43" max="43" width="17.28515625" style="1" customWidth="1"/>
    <col min="44" max="44" width="15.7109375" style="1" customWidth="1"/>
    <col min="45" max="45" width="17.28515625" style="1" customWidth="1"/>
    <col min="46" max="46" width="14.28515625" style="1" customWidth="1"/>
    <col min="47" max="47" width="19.28515625" style="1" customWidth="1"/>
    <col min="48" max="48" width="18.7109375" style="1" customWidth="1"/>
    <col min="49" max="16384" width="8.85546875" style="1"/>
  </cols>
  <sheetData>
    <row r="1" spans="1:39" ht="18">
      <c r="A1" s="4" t="s">
        <v>431</v>
      </c>
      <c r="C1" s="6"/>
      <c r="D1" s="6"/>
      <c r="E1" s="6"/>
      <c r="F1" s="6"/>
      <c r="G1" s="6"/>
      <c r="H1" s="6"/>
      <c r="I1" s="6"/>
      <c r="J1" s="6"/>
      <c r="U1" s="8"/>
      <c r="V1" s="8"/>
      <c r="W1" s="8"/>
      <c r="X1" s="8"/>
      <c r="Y1" s="8"/>
      <c r="Z1" s="8"/>
      <c r="AA1" s="4" t="s">
        <v>409</v>
      </c>
      <c r="AB1" s="8"/>
      <c r="AC1" s="8"/>
      <c r="AD1" s="8"/>
      <c r="AE1" s="4"/>
      <c r="AF1" s="8"/>
      <c r="AG1" s="8"/>
      <c r="AH1" s="8"/>
      <c r="AI1" s="8"/>
      <c r="AJ1" s="8"/>
      <c r="AK1" s="8"/>
      <c r="AL1" s="8"/>
      <c r="AM1" s="8"/>
    </row>
    <row r="2" spans="1:39" ht="18"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9"/>
      <c r="V2" s="9"/>
      <c r="W2" s="9"/>
      <c r="X2" s="8"/>
      <c r="Y2" s="8"/>
      <c r="Z2" s="8"/>
      <c r="AA2" s="4" t="s">
        <v>389</v>
      </c>
      <c r="AB2" s="8"/>
      <c r="AC2" s="8"/>
      <c r="AD2" s="8"/>
      <c r="AE2" s="4"/>
      <c r="AF2" s="8"/>
      <c r="AG2" s="8"/>
      <c r="AH2" s="8"/>
      <c r="AI2" s="8"/>
      <c r="AJ2" s="8"/>
      <c r="AK2" s="8"/>
      <c r="AL2" s="8"/>
      <c r="AM2" s="8"/>
    </row>
    <row r="3" spans="1:39" ht="18"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9"/>
      <c r="V3" s="9"/>
      <c r="W3" s="9"/>
      <c r="X3" s="8"/>
      <c r="Y3" s="8"/>
      <c r="Z3" s="8"/>
      <c r="AA3" s="4" t="s">
        <v>390</v>
      </c>
      <c r="AB3" s="8"/>
      <c r="AC3" s="8"/>
      <c r="AD3" s="8"/>
      <c r="AE3" s="4" t="s">
        <v>343</v>
      </c>
      <c r="AF3" s="8"/>
      <c r="AG3" s="8"/>
      <c r="AH3" s="8"/>
      <c r="AI3" s="8"/>
      <c r="AJ3" s="8"/>
      <c r="AK3" s="8"/>
      <c r="AL3" s="8"/>
      <c r="AM3" s="8"/>
    </row>
    <row r="4" spans="1:39" ht="23.25">
      <c r="C4" s="7"/>
      <c r="D4" s="41" t="s">
        <v>399</v>
      </c>
      <c r="E4" s="5"/>
      <c r="F4" s="5"/>
      <c r="N4" s="5"/>
      <c r="O4" s="5"/>
      <c r="P4" s="5"/>
      <c r="Q4" s="5"/>
      <c r="R4" s="5"/>
      <c r="S4" s="5"/>
      <c r="T4" s="5"/>
      <c r="U4" s="9"/>
      <c r="V4" s="9"/>
      <c r="W4" s="9"/>
      <c r="X4" s="8"/>
      <c r="Y4" s="8"/>
      <c r="Z4" s="8"/>
      <c r="AA4" s="4"/>
      <c r="AB4" s="8"/>
      <c r="AC4" s="8"/>
      <c r="AD4" s="8"/>
      <c r="AE4" s="4"/>
      <c r="AF4" s="8"/>
      <c r="AG4" s="8"/>
      <c r="AH4" s="8"/>
      <c r="AI4" s="8"/>
      <c r="AJ4" s="8"/>
      <c r="AK4" s="8"/>
      <c r="AL4" s="8"/>
      <c r="AM4" s="8"/>
    </row>
    <row r="5" spans="1:39" ht="18">
      <c r="D5" s="5"/>
      <c r="F5" s="5"/>
    </row>
    <row r="6" spans="1:39" ht="18">
      <c r="C6" s="5"/>
      <c r="D6" s="5"/>
      <c r="F6" s="5"/>
    </row>
    <row r="7" spans="1:39" ht="26.25">
      <c r="B7" s="347">
        <v>1</v>
      </c>
      <c r="C7" s="229" t="s">
        <v>428</v>
      </c>
      <c r="D7" s="37" t="s">
        <v>524</v>
      </c>
      <c r="F7" s="5"/>
    </row>
    <row r="8" spans="1:39" ht="41.25" customHeight="1">
      <c r="B8" s="349"/>
      <c r="C8" s="34" t="s">
        <v>527</v>
      </c>
      <c r="D8" s="204" t="s">
        <v>409</v>
      </c>
      <c r="F8" s="5"/>
    </row>
    <row r="9" spans="1:39" ht="41.25" customHeight="1">
      <c r="B9" s="349"/>
      <c r="C9" s="34" t="s">
        <v>537</v>
      </c>
      <c r="D9" s="204" t="s">
        <v>409</v>
      </c>
      <c r="F9" s="5"/>
    </row>
    <row r="10" spans="1:39" ht="35.25" customHeight="1">
      <c r="B10" s="349"/>
      <c r="C10" s="34" t="s">
        <v>378</v>
      </c>
      <c r="D10" s="204" t="s">
        <v>409</v>
      </c>
      <c r="F10" s="5"/>
    </row>
    <row r="11" spans="1:39" ht="46.5" customHeight="1">
      <c r="B11" s="349"/>
      <c r="C11" s="34" t="s">
        <v>377</v>
      </c>
      <c r="D11" s="204" t="s">
        <v>409</v>
      </c>
      <c r="F11" s="5"/>
    </row>
    <row r="12" spans="1:39" ht="36" customHeight="1">
      <c r="B12" s="349"/>
      <c r="C12" s="34" t="s">
        <v>373</v>
      </c>
      <c r="D12" s="204" t="s">
        <v>409</v>
      </c>
      <c r="F12" s="5"/>
    </row>
    <row r="13" spans="1:39" ht="31.5" customHeight="1">
      <c r="B13" s="349"/>
      <c r="C13" s="34" t="s">
        <v>371</v>
      </c>
      <c r="D13" s="204" t="s">
        <v>409</v>
      </c>
      <c r="E13" s="211" t="str">
        <f>IF(D13="ja","*Zie '3' vanaf cel B30","")</f>
        <v/>
      </c>
      <c r="F13" s="5"/>
    </row>
    <row r="14" spans="1:39" ht="37.5" customHeight="1">
      <c r="B14" s="349"/>
      <c r="C14" s="34" t="s">
        <v>372</v>
      </c>
      <c r="D14" s="204" t="s">
        <v>409</v>
      </c>
      <c r="E14" s="211" t="str">
        <f>IF(D14="ja","*Zie '4' vanaf cel M30","")</f>
        <v/>
      </c>
    </row>
    <row r="15" spans="1:39" ht="36" customHeight="1">
      <c r="B15" s="349"/>
      <c r="C15" s="34" t="s">
        <v>345</v>
      </c>
      <c r="D15" s="204" t="s">
        <v>409</v>
      </c>
      <c r="E15" s="211" t="str">
        <f>IF(D15="ja","*Zie '5' vanaf cel B106","")</f>
        <v/>
      </c>
    </row>
    <row r="16" spans="1:39" ht="33.75" customHeight="1">
      <c r="F16" s="5"/>
    </row>
    <row r="17" spans="1:23" ht="18">
      <c r="F17" s="5"/>
      <c r="G17" s="5"/>
    </row>
    <row r="18" spans="1:23" ht="25.5">
      <c r="B18" s="347">
        <v>2</v>
      </c>
      <c r="C18" s="214" t="s">
        <v>535</v>
      </c>
      <c r="D18" s="215"/>
      <c r="E18" s="215"/>
      <c r="F18" s="215"/>
      <c r="G18" s="10"/>
      <c r="H18" s="10"/>
      <c r="I18" s="10"/>
      <c r="J18" s="10"/>
      <c r="K18" s="10"/>
      <c r="L18" s="53"/>
    </row>
    <row r="19" spans="1:23" ht="18">
      <c r="B19" s="349"/>
      <c r="C19" s="216"/>
      <c r="D19" s="288"/>
      <c r="E19" s="288"/>
      <c r="F19" s="288"/>
      <c r="G19" s="289"/>
      <c r="H19" s="289"/>
      <c r="I19" s="289"/>
      <c r="J19" s="289"/>
      <c r="K19" s="289"/>
      <c r="L19" s="44"/>
    </row>
    <row r="20" spans="1:23" ht="18">
      <c r="B20" s="349"/>
      <c r="C20" s="216"/>
      <c r="D20" s="288"/>
      <c r="E20" s="288"/>
      <c r="F20" s="288"/>
      <c r="G20" s="289"/>
      <c r="H20" s="289"/>
      <c r="I20" s="289"/>
      <c r="J20" s="289"/>
      <c r="K20" s="289"/>
      <c r="L20" s="44"/>
    </row>
    <row r="21" spans="1:23" ht="114" customHeight="1">
      <c r="B21" s="349"/>
      <c r="C21" s="216"/>
      <c r="D21" s="36" t="s">
        <v>428</v>
      </c>
      <c r="E21" s="38" t="s">
        <v>376</v>
      </c>
      <c r="F21" s="38" t="s">
        <v>379</v>
      </c>
      <c r="G21" s="38" t="s">
        <v>380</v>
      </c>
      <c r="H21" s="217" t="s">
        <v>534</v>
      </c>
      <c r="I21" s="217" t="s">
        <v>532</v>
      </c>
      <c r="J21" s="213" t="s">
        <v>533</v>
      </c>
      <c r="K21" s="289"/>
      <c r="L21" s="44"/>
      <c r="N21" s="277"/>
    </row>
    <row r="22" spans="1:23" ht="51">
      <c r="B22" s="349"/>
      <c r="C22" s="216"/>
      <c r="D22" s="34" t="s">
        <v>374</v>
      </c>
      <c r="E22" s="205"/>
      <c r="F22" s="218" t="e">
        <f>VLOOKUP($A$1,'Kengetal woningverbeteren'!$B$2:$K$5,5,FALSE)</f>
        <v>#N/A</v>
      </c>
      <c r="G22" s="35" t="str">
        <f>IFERROR(E22*F22,"-")</f>
        <v>-</v>
      </c>
      <c r="H22" s="212"/>
      <c r="I22" s="212"/>
      <c r="J22" s="212"/>
      <c r="K22" s="290" t="s">
        <v>620</v>
      </c>
      <c r="L22" s="275"/>
      <c r="M22" s="276"/>
      <c r="N22" s="276"/>
      <c r="O22" s="276"/>
      <c r="P22" s="276"/>
      <c r="Q22" s="276"/>
      <c r="R22" s="276"/>
    </row>
    <row r="23" spans="1:23" ht="48.75" customHeight="1">
      <c r="B23" s="349"/>
      <c r="C23" s="216"/>
      <c r="D23" s="34" t="s">
        <v>375</v>
      </c>
      <c r="E23" s="205"/>
      <c r="F23" s="218" t="e">
        <f>VLOOKUP($A$1,'Kengetal woningverbeteren'!$B$2:$K$5,6,FALSE)</f>
        <v>#N/A</v>
      </c>
      <c r="G23" s="35" t="str">
        <f t="shared" ref="G23:G26" si="0">IFERROR(E23*F23,"-")</f>
        <v>-</v>
      </c>
      <c r="H23" s="212"/>
      <c r="I23" s="212"/>
      <c r="J23" s="212"/>
      <c r="K23" s="290" t="s">
        <v>620</v>
      </c>
      <c r="L23" s="275"/>
      <c r="M23" s="276"/>
      <c r="N23" s="276"/>
      <c r="O23" s="276"/>
      <c r="P23" s="276"/>
      <c r="Q23" s="276"/>
      <c r="R23" s="276"/>
    </row>
    <row r="24" spans="1:23" ht="48.75" customHeight="1">
      <c r="B24" s="349"/>
      <c r="C24" s="216"/>
      <c r="D24" s="34" t="s">
        <v>378</v>
      </c>
      <c r="E24" s="205"/>
      <c r="F24" s="218" t="e">
        <f>VLOOKUP($A$1,'Kengetal woningverbeteren'!$B$2:$K$5,9,FALSE)</f>
        <v>#N/A</v>
      </c>
      <c r="G24" s="35" t="str">
        <f t="shared" si="0"/>
        <v>-</v>
      </c>
      <c r="H24" s="212"/>
      <c r="I24" s="212"/>
      <c r="J24" s="212"/>
      <c r="K24" s="290" t="s">
        <v>620</v>
      </c>
      <c r="L24" s="275"/>
      <c r="M24" s="276"/>
      <c r="N24" s="276"/>
      <c r="O24" s="276"/>
      <c r="P24" s="276"/>
      <c r="Q24" s="276"/>
      <c r="R24" s="276"/>
    </row>
    <row r="25" spans="1:23" ht="44.25" customHeight="1">
      <c r="B25" s="349"/>
      <c r="C25" s="216"/>
      <c r="D25" s="34" t="s">
        <v>377</v>
      </c>
      <c r="E25" s="205"/>
      <c r="F25" s="218" t="e">
        <f>VLOOKUP($A$1,'Kengetal woningverbeteren'!$B$2:$K$5,10,FALSE)</f>
        <v>#N/A</v>
      </c>
      <c r="G25" s="35" t="str">
        <f t="shared" si="0"/>
        <v>-</v>
      </c>
      <c r="H25" s="212"/>
      <c r="I25" s="212"/>
      <c r="J25" s="212"/>
      <c r="K25" s="290" t="s">
        <v>620</v>
      </c>
      <c r="L25" s="275"/>
      <c r="M25" s="276"/>
      <c r="N25" s="276"/>
      <c r="O25" s="276"/>
      <c r="P25" s="276"/>
      <c r="Q25" s="276"/>
      <c r="R25" s="276"/>
    </row>
    <row r="26" spans="1:23" ht="31.5" customHeight="1">
      <c r="B26" s="349"/>
      <c r="C26" s="216"/>
      <c r="D26" s="34" t="s">
        <v>373</v>
      </c>
      <c r="E26" s="205"/>
      <c r="F26" s="218" t="e">
        <f>VLOOKUP($A$1,'Kengetal woningverbeteren'!$B$2:$K$5,4,FALSE)</f>
        <v>#N/A</v>
      </c>
      <c r="G26" s="35" t="str">
        <f t="shared" si="0"/>
        <v>-</v>
      </c>
      <c r="H26" s="212"/>
      <c r="I26" s="212"/>
      <c r="J26" s="212"/>
      <c r="K26" s="290" t="s">
        <v>620</v>
      </c>
      <c r="L26" s="275"/>
      <c r="M26" s="276"/>
      <c r="N26" s="276"/>
      <c r="O26" s="276"/>
      <c r="P26" s="276"/>
      <c r="Q26" s="276"/>
      <c r="R26" s="276"/>
    </row>
    <row r="27" spans="1:23" ht="31.5" customHeight="1">
      <c r="B27" s="349"/>
      <c r="C27" s="216"/>
      <c r="D27" s="288"/>
      <c r="E27" s="288"/>
      <c r="F27" s="288"/>
      <c r="G27" s="289"/>
      <c r="H27" s="289"/>
      <c r="I27" s="289"/>
      <c r="J27" s="289"/>
      <c r="K27" s="289"/>
      <c r="L27" s="44"/>
    </row>
    <row r="28" spans="1:23" ht="31.5" customHeight="1">
      <c r="B28" s="348"/>
      <c r="C28" s="45"/>
      <c r="D28" s="42"/>
      <c r="E28" s="42"/>
      <c r="F28" s="42"/>
      <c r="G28" s="42"/>
      <c r="H28" s="42"/>
      <c r="I28" s="42"/>
      <c r="J28" s="42"/>
      <c r="K28" s="42"/>
      <c r="L28" s="46"/>
    </row>
    <row r="29" spans="1:23" ht="34.5" customHeight="1"/>
    <row r="30" spans="1:23" ht="26.25">
      <c r="A30" s="243"/>
      <c r="B30" s="347">
        <v>3</v>
      </c>
      <c r="C30" s="419" t="s">
        <v>371</v>
      </c>
      <c r="D30" s="420"/>
      <c r="M30" s="347">
        <v>4</v>
      </c>
      <c r="N30" s="419" t="s">
        <v>372</v>
      </c>
      <c r="O30" s="420"/>
    </row>
    <row r="31" spans="1:23" ht="25.5" customHeight="1">
      <c r="A31" s="243"/>
      <c r="B31" s="349"/>
      <c r="C31" s="208" t="s">
        <v>446</v>
      </c>
      <c r="D31" s="126"/>
      <c r="M31" s="349"/>
      <c r="N31" s="208" t="s">
        <v>446</v>
      </c>
      <c r="O31" s="126"/>
    </row>
    <row r="32" spans="1:23" ht="25.5" customHeight="1">
      <c r="A32" s="243"/>
      <c r="B32" s="349"/>
      <c r="C32" s="208" t="s">
        <v>447</v>
      </c>
      <c r="D32" s="126"/>
      <c r="E32" s="272" t="s">
        <v>620</v>
      </c>
      <c r="F32" s="271"/>
      <c r="G32" s="271"/>
      <c r="H32" s="271"/>
      <c r="I32" s="271"/>
      <c r="J32" s="271"/>
      <c r="K32" s="271"/>
      <c r="L32"/>
      <c r="M32" s="349"/>
      <c r="N32" s="208" t="s">
        <v>447</v>
      </c>
      <c r="O32" s="126"/>
      <c r="P32" s="272" t="s">
        <v>620</v>
      </c>
      <c r="Q32" s="271"/>
      <c r="R32" s="271"/>
      <c r="S32" s="271"/>
      <c r="T32" s="271"/>
      <c r="U32" s="271"/>
      <c r="V32" s="271"/>
      <c r="W32" s="276"/>
    </row>
    <row r="33" spans="1:22" ht="12" customHeight="1">
      <c r="A33" s="243"/>
      <c r="B33" s="349"/>
      <c r="M33" s="349"/>
    </row>
    <row r="34" spans="1:22" ht="12" customHeight="1">
      <c r="A34" s="243"/>
      <c r="B34" s="349"/>
      <c r="M34" s="349"/>
    </row>
    <row r="35" spans="1:22" ht="26.25">
      <c r="A35" s="243"/>
      <c r="B35" s="349"/>
      <c r="C35" s="209" t="s">
        <v>576</v>
      </c>
      <c r="D35" s="127">
        <f>-D31+D32</f>
        <v>0</v>
      </c>
      <c r="M35" s="349"/>
      <c r="N35" s="209" t="s">
        <v>576</v>
      </c>
      <c r="O35" s="127">
        <f>-O31+O32</f>
        <v>0</v>
      </c>
    </row>
    <row r="36" spans="1:22" ht="12" customHeight="1">
      <c r="A36" s="243"/>
      <c r="B36" s="349"/>
      <c r="M36" s="349"/>
    </row>
    <row r="37" spans="1:22" ht="25.5" customHeight="1">
      <c r="A37" s="243"/>
      <c r="B37" s="349"/>
      <c r="C37" s="208" t="s">
        <v>530</v>
      </c>
      <c r="D37" s="126"/>
      <c r="M37" s="349"/>
      <c r="N37" s="208" t="s">
        <v>530</v>
      </c>
      <c r="O37" s="126"/>
    </row>
    <row r="38" spans="1:22" ht="25.5" customHeight="1">
      <c r="A38" s="243"/>
      <c r="B38" s="349"/>
      <c r="C38" s="208" t="s">
        <v>529</v>
      </c>
      <c r="D38" s="126"/>
      <c r="M38" s="349"/>
      <c r="N38" s="208" t="s">
        <v>529</v>
      </c>
      <c r="O38" s="126"/>
    </row>
    <row r="39" spans="1:22" ht="25.5" customHeight="1">
      <c r="A39" s="243"/>
      <c r="B39" s="349"/>
      <c r="D39"/>
      <c r="M39" s="349"/>
    </row>
    <row r="40" spans="1:22" ht="12" customHeight="1">
      <c r="A40" s="243"/>
      <c r="B40" s="349"/>
      <c r="M40" s="349"/>
    </row>
    <row r="41" spans="1:22" ht="23.25" customHeight="1">
      <c r="A41" s="243"/>
      <c r="B41" s="349"/>
      <c r="C41" s="210" t="s">
        <v>573</v>
      </c>
      <c r="D41" s="203" t="str">
        <f>IF(D35&gt;=0,"geen financieel tekort",D35+D37+D38)</f>
        <v>geen financieel tekort</v>
      </c>
      <c r="M41" s="349"/>
      <c r="N41" s="210" t="s">
        <v>573</v>
      </c>
      <c r="O41" s="203" t="str">
        <f>IF(O35&gt;=0,"geen financieel tekort",O35+O37+O38)</f>
        <v>geen financieel tekort</v>
      </c>
    </row>
    <row r="42" spans="1:22" ht="12" customHeight="1">
      <c r="A42" s="243"/>
      <c r="B42" s="349"/>
      <c r="M42" s="349"/>
    </row>
    <row r="43" spans="1:22" ht="26.25">
      <c r="A43" s="243"/>
      <c r="B43" s="349"/>
      <c r="C43" s="421" t="s">
        <v>531</v>
      </c>
      <c r="D43" s="421"/>
      <c r="E43" s="421"/>
      <c r="F43" s="421"/>
      <c r="G43" s="421"/>
      <c r="H43" s="421"/>
      <c r="I43" s="421"/>
      <c r="J43" s="421"/>
      <c r="K43" s="422"/>
      <c r="M43" s="349"/>
      <c r="N43" s="421" t="s">
        <v>572</v>
      </c>
      <c r="O43" s="421"/>
      <c r="P43" s="421"/>
      <c r="Q43" s="421"/>
      <c r="R43" s="421"/>
      <c r="S43" s="421"/>
      <c r="T43" s="421"/>
      <c r="U43" s="421"/>
      <c r="V43" s="422"/>
    </row>
    <row r="44" spans="1:22" ht="12" customHeight="1">
      <c r="A44" s="243"/>
      <c r="B44" s="349"/>
      <c r="C44" s="413"/>
      <c r="D44" s="413"/>
      <c r="E44" s="413"/>
      <c r="F44" s="413"/>
      <c r="G44" s="413"/>
      <c r="H44" s="413"/>
      <c r="I44" s="413"/>
      <c r="J44" s="413"/>
      <c r="K44" s="414"/>
      <c r="M44" s="349"/>
      <c r="N44" s="413"/>
      <c r="O44" s="413"/>
      <c r="P44" s="413"/>
      <c r="Q44" s="413"/>
      <c r="R44" s="413"/>
      <c r="S44" s="413"/>
      <c r="T44" s="413"/>
      <c r="U44" s="413"/>
      <c r="V44" s="414"/>
    </row>
    <row r="45" spans="1:22" ht="12" customHeight="1">
      <c r="A45" s="243"/>
      <c r="B45" s="349"/>
      <c r="C45" s="415"/>
      <c r="D45" s="415"/>
      <c r="E45" s="415"/>
      <c r="F45" s="415"/>
      <c r="G45" s="415"/>
      <c r="H45" s="415"/>
      <c r="I45" s="415"/>
      <c r="J45" s="415"/>
      <c r="K45" s="416"/>
      <c r="M45" s="349"/>
      <c r="N45" s="415"/>
      <c r="O45" s="415"/>
      <c r="P45" s="415"/>
      <c r="Q45" s="415"/>
      <c r="R45" s="415"/>
      <c r="S45" s="415"/>
      <c r="T45" s="415"/>
      <c r="U45" s="415"/>
      <c r="V45" s="416"/>
    </row>
    <row r="46" spans="1:22" ht="12" customHeight="1">
      <c r="A46" s="243"/>
      <c r="B46" s="349"/>
      <c r="C46" s="415"/>
      <c r="D46" s="415"/>
      <c r="E46" s="415"/>
      <c r="F46" s="415"/>
      <c r="G46" s="415"/>
      <c r="H46" s="415"/>
      <c r="I46" s="415"/>
      <c r="J46" s="415"/>
      <c r="K46" s="416"/>
      <c r="M46" s="349"/>
      <c r="N46" s="415"/>
      <c r="O46" s="415"/>
      <c r="P46" s="415"/>
      <c r="Q46" s="415"/>
      <c r="R46" s="415"/>
      <c r="S46" s="415"/>
      <c r="T46" s="415"/>
      <c r="U46" s="415"/>
      <c r="V46" s="416"/>
    </row>
    <row r="47" spans="1:22" ht="12" customHeight="1">
      <c r="A47" s="243"/>
      <c r="B47" s="349"/>
      <c r="C47" s="415"/>
      <c r="D47" s="415"/>
      <c r="E47" s="415"/>
      <c r="F47" s="415"/>
      <c r="G47" s="415"/>
      <c r="H47" s="415"/>
      <c r="I47" s="415"/>
      <c r="J47" s="415"/>
      <c r="K47" s="416"/>
      <c r="M47" s="349"/>
      <c r="N47" s="415"/>
      <c r="O47" s="415"/>
      <c r="P47" s="415"/>
      <c r="Q47" s="415"/>
      <c r="R47" s="415"/>
      <c r="S47" s="415"/>
      <c r="T47" s="415"/>
      <c r="U47" s="415"/>
      <c r="V47" s="416"/>
    </row>
    <row r="48" spans="1:22" ht="12" customHeight="1">
      <c r="A48" s="243"/>
      <c r="B48" s="349"/>
      <c r="C48" s="415"/>
      <c r="D48" s="415"/>
      <c r="E48" s="415"/>
      <c r="F48" s="415"/>
      <c r="G48" s="415"/>
      <c r="H48" s="415"/>
      <c r="I48" s="415"/>
      <c r="J48" s="415"/>
      <c r="K48" s="416"/>
      <c r="M48" s="349"/>
      <c r="N48" s="415"/>
      <c r="O48" s="415"/>
      <c r="P48" s="415"/>
      <c r="Q48" s="415"/>
      <c r="R48" s="415"/>
      <c r="S48" s="415"/>
      <c r="T48" s="415"/>
      <c r="U48" s="415"/>
      <c r="V48" s="416"/>
    </row>
    <row r="49" spans="1:22" ht="12" customHeight="1">
      <c r="A49" s="243"/>
      <c r="B49" s="349"/>
      <c r="C49" s="415"/>
      <c r="D49" s="415"/>
      <c r="E49" s="415"/>
      <c r="F49" s="415"/>
      <c r="G49" s="415"/>
      <c r="H49" s="415"/>
      <c r="I49" s="415"/>
      <c r="J49" s="415"/>
      <c r="K49" s="416"/>
      <c r="M49" s="349"/>
      <c r="N49" s="415"/>
      <c r="O49" s="415"/>
      <c r="P49" s="415"/>
      <c r="Q49" s="415"/>
      <c r="R49" s="415"/>
      <c r="S49" s="415"/>
      <c r="T49" s="415"/>
      <c r="U49" s="415"/>
      <c r="V49" s="416"/>
    </row>
    <row r="50" spans="1:22" ht="12" customHeight="1">
      <c r="A50" s="243"/>
      <c r="B50" s="349"/>
      <c r="C50" s="415"/>
      <c r="D50" s="415"/>
      <c r="E50" s="415"/>
      <c r="F50" s="415"/>
      <c r="G50" s="415"/>
      <c r="H50" s="415"/>
      <c r="I50" s="415"/>
      <c r="J50" s="415"/>
      <c r="K50" s="416"/>
      <c r="M50" s="349"/>
      <c r="N50" s="415"/>
      <c r="O50" s="415"/>
      <c r="P50" s="415"/>
      <c r="Q50" s="415"/>
      <c r="R50" s="415"/>
      <c r="S50" s="415"/>
      <c r="T50" s="415"/>
      <c r="U50" s="415"/>
      <c r="V50" s="416"/>
    </row>
    <row r="51" spans="1:22" ht="12" customHeight="1">
      <c r="A51" s="243"/>
      <c r="B51" s="349"/>
      <c r="C51" s="415"/>
      <c r="D51" s="415"/>
      <c r="E51" s="415"/>
      <c r="F51" s="415"/>
      <c r="G51" s="415"/>
      <c r="H51" s="415"/>
      <c r="I51" s="415"/>
      <c r="J51" s="415"/>
      <c r="K51" s="416"/>
      <c r="M51" s="349"/>
      <c r="N51" s="415"/>
      <c r="O51" s="415"/>
      <c r="P51" s="415"/>
      <c r="Q51" s="415"/>
      <c r="R51" s="415"/>
      <c r="S51" s="415"/>
      <c r="T51" s="415"/>
      <c r="U51" s="415"/>
      <c r="V51" s="416"/>
    </row>
    <row r="52" spans="1:22" ht="12" customHeight="1">
      <c r="A52" s="243"/>
      <c r="B52" s="349"/>
      <c r="C52" s="415"/>
      <c r="D52" s="415"/>
      <c r="E52" s="415"/>
      <c r="F52" s="415"/>
      <c r="G52" s="415"/>
      <c r="H52" s="415"/>
      <c r="I52" s="415"/>
      <c r="J52" s="415"/>
      <c r="K52" s="416"/>
      <c r="M52" s="349"/>
      <c r="N52" s="415"/>
      <c r="O52" s="415"/>
      <c r="P52" s="415"/>
      <c r="Q52" s="415"/>
      <c r="R52" s="415"/>
      <c r="S52" s="415"/>
      <c r="T52" s="415"/>
      <c r="U52" s="415"/>
      <c r="V52" s="416"/>
    </row>
    <row r="53" spans="1:22" ht="12" customHeight="1">
      <c r="A53" s="243"/>
      <c r="B53" s="349"/>
      <c r="C53" s="415"/>
      <c r="D53" s="415"/>
      <c r="E53" s="415"/>
      <c r="F53" s="415"/>
      <c r="G53" s="415"/>
      <c r="H53" s="415"/>
      <c r="I53" s="415"/>
      <c r="J53" s="415"/>
      <c r="K53" s="416"/>
      <c r="M53" s="349"/>
      <c r="N53" s="415"/>
      <c r="O53" s="415"/>
      <c r="P53" s="415"/>
      <c r="Q53" s="415"/>
      <c r="R53" s="415"/>
      <c r="S53" s="415"/>
      <c r="T53" s="415"/>
      <c r="U53" s="415"/>
      <c r="V53" s="416"/>
    </row>
    <row r="54" spans="1:22" ht="12" customHeight="1">
      <c r="A54" s="243"/>
      <c r="B54" s="349"/>
      <c r="C54" s="415"/>
      <c r="D54" s="415"/>
      <c r="E54" s="415"/>
      <c r="F54" s="415"/>
      <c r="G54" s="415"/>
      <c r="H54" s="415"/>
      <c r="I54" s="415"/>
      <c r="J54" s="415"/>
      <c r="K54" s="416"/>
      <c r="M54" s="349"/>
      <c r="N54" s="415"/>
      <c r="O54" s="415"/>
      <c r="P54" s="415"/>
      <c r="Q54" s="415"/>
      <c r="R54" s="415"/>
      <c r="S54" s="415"/>
      <c r="T54" s="415"/>
      <c r="U54" s="415"/>
      <c r="V54" s="416"/>
    </row>
    <row r="55" spans="1:22" ht="12" customHeight="1">
      <c r="A55" s="243"/>
      <c r="B55" s="349"/>
      <c r="C55" s="415"/>
      <c r="D55" s="415"/>
      <c r="E55" s="415"/>
      <c r="F55" s="415"/>
      <c r="G55" s="415"/>
      <c r="H55" s="415"/>
      <c r="I55" s="415"/>
      <c r="J55" s="415"/>
      <c r="K55" s="416"/>
      <c r="M55" s="349"/>
      <c r="N55" s="415"/>
      <c r="O55" s="415"/>
      <c r="P55" s="415"/>
      <c r="Q55" s="415"/>
      <c r="R55" s="415"/>
      <c r="S55" s="415"/>
      <c r="T55" s="415"/>
      <c r="U55" s="415"/>
      <c r="V55" s="416"/>
    </row>
    <row r="56" spans="1:22" ht="12" customHeight="1">
      <c r="A56" s="243"/>
      <c r="B56" s="349"/>
      <c r="C56" s="415"/>
      <c r="D56" s="415"/>
      <c r="E56" s="415"/>
      <c r="F56" s="415"/>
      <c r="G56" s="415"/>
      <c r="H56" s="415"/>
      <c r="I56" s="415"/>
      <c r="J56" s="415"/>
      <c r="K56" s="416"/>
      <c r="M56" s="349"/>
      <c r="N56" s="415"/>
      <c r="O56" s="415"/>
      <c r="P56" s="415"/>
      <c r="Q56" s="415"/>
      <c r="R56" s="415"/>
      <c r="S56" s="415"/>
      <c r="T56" s="415"/>
      <c r="U56" s="415"/>
      <c r="V56" s="416"/>
    </row>
    <row r="57" spans="1:22" ht="12" customHeight="1">
      <c r="A57" s="243"/>
      <c r="B57" s="349"/>
      <c r="C57" s="415"/>
      <c r="D57" s="415"/>
      <c r="E57" s="415"/>
      <c r="F57" s="415"/>
      <c r="G57" s="415"/>
      <c r="H57" s="415"/>
      <c r="I57" s="415"/>
      <c r="J57" s="415"/>
      <c r="K57" s="416"/>
      <c r="M57" s="349"/>
      <c r="N57" s="415"/>
      <c r="O57" s="415"/>
      <c r="P57" s="415"/>
      <c r="Q57" s="415"/>
      <c r="R57" s="415"/>
      <c r="S57" s="415"/>
      <c r="T57" s="415"/>
      <c r="U57" s="415"/>
      <c r="V57" s="416"/>
    </row>
    <row r="58" spans="1:22" ht="12" customHeight="1">
      <c r="A58" s="243"/>
      <c r="B58" s="349"/>
      <c r="C58" s="415"/>
      <c r="D58" s="415"/>
      <c r="E58" s="415"/>
      <c r="F58" s="415"/>
      <c r="G58" s="415"/>
      <c r="H58" s="415"/>
      <c r="I58" s="415"/>
      <c r="J58" s="415"/>
      <c r="K58" s="416"/>
      <c r="M58" s="349"/>
      <c r="N58" s="415"/>
      <c r="O58" s="415"/>
      <c r="P58" s="415"/>
      <c r="Q58" s="415"/>
      <c r="R58" s="415"/>
      <c r="S58" s="415"/>
      <c r="T58" s="415"/>
      <c r="U58" s="415"/>
      <c r="V58" s="416"/>
    </row>
    <row r="59" spans="1:22" ht="12" customHeight="1">
      <c r="A59" s="243"/>
      <c r="B59" s="349"/>
      <c r="C59" s="415"/>
      <c r="D59" s="415"/>
      <c r="E59" s="415"/>
      <c r="F59" s="415"/>
      <c r="G59" s="415"/>
      <c r="H59" s="415"/>
      <c r="I59" s="415"/>
      <c r="J59" s="415"/>
      <c r="K59" s="416"/>
      <c r="M59" s="349"/>
      <c r="N59" s="415"/>
      <c r="O59" s="415"/>
      <c r="P59" s="415"/>
      <c r="Q59" s="415"/>
      <c r="R59" s="415"/>
      <c r="S59" s="415"/>
      <c r="T59" s="415"/>
      <c r="U59" s="415"/>
      <c r="V59" s="416"/>
    </row>
    <row r="60" spans="1:22" ht="12" customHeight="1">
      <c r="A60" s="243"/>
      <c r="B60" s="349"/>
      <c r="C60" s="415"/>
      <c r="D60" s="415"/>
      <c r="E60" s="415"/>
      <c r="F60" s="415"/>
      <c r="G60" s="415"/>
      <c r="H60" s="415"/>
      <c r="I60" s="415"/>
      <c r="J60" s="415"/>
      <c r="K60" s="416"/>
      <c r="M60" s="349"/>
      <c r="N60" s="415"/>
      <c r="O60" s="415"/>
      <c r="P60" s="415"/>
      <c r="Q60" s="415"/>
      <c r="R60" s="415"/>
      <c r="S60" s="415"/>
      <c r="T60" s="415"/>
      <c r="U60" s="415"/>
      <c r="V60" s="416"/>
    </row>
    <row r="61" spans="1:22" ht="12" customHeight="1">
      <c r="A61" s="243"/>
      <c r="B61" s="349"/>
      <c r="C61" s="415"/>
      <c r="D61" s="415"/>
      <c r="E61" s="415"/>
      <c r="F61" s="415"/>
      <c r="G61" s="415"/>
      <c r="H61" s="415"/>
      <c r="I61" s="415"/>
      <c r="J61" s="415"/>
      <c r="K61" s="416"/>
      <c r="M61" s="349"/>
      <c r="N61" s="415"/>
      <c r="O61" s="415"/>
      <c r="P61" s="415"/>
      <c r="Q61" s="415"/>
      <c r="R61" s="415"/>
      <c r="S61" s="415"/>
      <c r="T61" s="415"/>
      <c r="U61" s="415"/>
      <c r="V61" s="416"/>
    </row>
    <row r="62" spans="1:22" ht="12" customHeight="1">
      <c r="A62" s="243"/>
      <c r="B62" s="349"/>
      <c r="C62" s="415"/>
      <c r="D62" s="415"/>
      <c r="E62" s="415"/>
      <c r="F62" s="415"/>
      <c r="G62" s="415"/>
      <c r="H62" s="415"/>
      <c r="I62" s="415"/>
      <c r="J62" s="415"/>
      <c r="K62" s="416"/>
      <c r="M62" s="349"/>
      <c r="N62" s="415"/>
      <c r="O62" s="415"/>
      <c r="P62" s="415"/>
      <c r="Q62" s="415"/>
      <c r="R62" s="415"/>
      <c r="S62" s="415"/>
      <c r="T62" s="415"/>
      <c r="U62" s="415"/>
      <c r="V62" s="416"/>
    </row>
    <row r="63" spans="1:22" ht="12" customHeight="1">
      <c r="A63" s="243"/>
      <c r="B63" s="349"/>
      <c r="C63" s="415"/>
      <c r="D63" s="415"/>
      <c r="E63" s="415"/>
      <c r="F63" s="415"/>
      <c r="G63" s="415"/>
      <c r="H63" s="415"/>
      <c r="I63" s="415"/>
      <c r="J63" s="415"/>
      <c r="K63" s="416"/>
      <c r="M63" s="349"/>
      <c r="N63" s="415"/>
      <c r="O63" s="415"/>
      <c r="P63" s="415"/>
      <c r="Q63" s="415"/>
      <c r="R63" s="415"/>
      <c r="S63" s="415"/>
      <c r="T63" s="415"/>
      <c r="U63" s="415"/>
      <c r="V63" s="416"/>
    </row>
    <row r="64" spans="1:22" ht="12" customHeight="1">
      <c r="A64" s="243"/>
      <c r="B64" s="349"/>
      <c r="C64" s="415"/>
      <c r="D64" s="415"/>
      <c r="E64" s="415"/>
      <c r="F64" s="415"/>
      <c r="G64" s="415"/>
      <c r="H64" s="415"/>
      <c r="I64" s="415"/>
      <c r="J64" s="415"/>
      <c r="K64" s="416"/>
      <c r="M64" s="349"/>
      <c r="N64" s="415"/>
      <c r="O64" s="415"/>
      <c r="P64" s="415"/>
      <c r="Q64" s="415"/>
      <c r="R64" s="415"/>
      <c r="S64" s="415"/>
      <c r="T64" s="415"/>
      <c r="U64" s="415"/>
      <c r="V64" s="416"/>
    </row>
    <row r="65" spans="1:22" ht="12" customHeight="1">
      <c r="A65" s="243"/>
      <c r="B65" s="349"/>
      <c r="C65" s="415"/>
      <c r="D65" s="415"/>
      <c r="E65" s="415"/>
      <c r="F65" s="415"/>
      <c r="G65" s="415"/>
      <c r="H65" s="415"/>
      <c r="I65" s="415"/>
      <c r="J65" s="415"/>
      <c r="K65" s="416"/>
      <c r="M65" s="349"/>
      <c r="N65" s="415"/>
      <c r="O65" s="415"/>
      <c r="P65" s="415"/>
      <c r="Q65" s="415"/>
      <c r="R65" s="415"/>
      <c r="S65" s="415"/>
      <c r="T65" s="415"/>
      <c r="U65" s="415"/>
      <c r="V65" s="416"/>
    </row>
    <row r="66" spans="1:22" ht="12" customHeight="1">
      <c r="A66" s="243"/>
      <c r="B66" s="349"/>
      <c r="C66" s="415"/>
      <c r="D66" s="415"/>
      <c r="E66" s="415"/>
      <c r="F66" s="415"/>
      <c r="G66" s="415"/>
      <c r="H66" s="415"/>
      <c r="I66" s="415"/>
      <c r="J66" s="415"/>
      <c r="K66" s="416"/>
      <c r="M66" s="349"/>
      <c r="N66" s="415"/>
      <c r="O66" s="415"/>
      <c r="P66" s="415"/>
      <c r="Q66" s="415"/>
      <c r="R66" s="415"/>
      <c r="S66" s="415"/>
      <c r="T66" s="415"/>
      <c r="U66" s="415"/>
      <c r="V66" s="416"/>
    </row>
    <row r="67" spans="1:22" ht="12" customHeight="1">
      <c r="A67" s="243"/>
      <c r="B67" s="349"/>
      <c r="C67" s="415"/>
      <c r="D67" s="415"/>
      <c r="E67" s="415"/>
      <c r="F67" s="415"/>
      <c r="G67" s="415"/>
      <c r="H67" s="415"/>
      <c r="I67" s="415"/>
      <c r="J67" s="415"/>
      <c r="K67" s="416"/>
      <c r="M67" s="349"/>
      <c r="N67" s="415"/>
      <c r="O67" s="415"/>
      <c r="P67" s="415"/>
      <c r="Q67" s="415"/>
      <c r="R67" s="415"/>
      <c r="S67" s="415"/>
      <c r="T67" s="415"/>
      <c r="U67" s="415"/>
      <c r="V67" s="416"/>
    </row>
    <row r="68" spans="1:22" ht="12" customHeight="1">
      <c r="A68" s="243"/>
      <c r="B68" s="349"/>
      <c r="C68" s="415"/>
      <c r="D68" s="415"/>
      <c r="E68" s="415"/>
      <c r="F68" s="415"/>
      <c r="G68" s="415"/>
      <c r="H68" s="415"/>
      <c r="I68" s="415"/>
      <c r="J68" s="415"/>
      <c r="K68" s="416"/>
      <c r="M68" s="349"/>
      <c r="N68" s="415"/>
      <c r="O68" s="415"/>
      <c r="P68" s="415"/>
      <c r="Q68" s="415"/>
      <c r="R68" s="415"/>
      <c r="S68" s="415"/>
      <c r="T68" s="415"/>
      <c r="U68" s="415"/>
      <c r="V68" s="416"/>
    </row>
    <row r="69" spans="1:22" ht="12" customHeight="1">
      <c r="A69" s="243"/>
      <c r="B69" s="349"/>
      <c r="C69" s="415"/>
      <c r="D69" s="415"/>
      <c r="E69" s="415"/>
      <c r="F69" s="415"/>
      <c r="G69" s="415"/>
      <c r="H69" s="415"/>
      <c r="I69" s="415"/>
      <c r="J69" s="415"/>
      <c r="K69" s="416"/>
      <c r="M69" s="349"/>
      <c r="N69" s="415"/>
      <c r="O69" s="415"/>
      <c r="P69" s="415"/>
      <c r="Q69" s="415"/>
      <c r="R69" s="415"/>
      <c r="S69" s="415"/>
      <c r="T69" s="415"/>
      <c r="U69" s="415"/>
      <c r="V69" s="416"/>
    </row>
    <row r="70" spans="1:22" ht="12" customHeight="1">
      <c r="A70" s="243"/>
      <c r="B70" s="349"/>
      <c r="C70" s="415"/>
      <c r="D70" s="415"/>
      <c r="E70" s="415"/>
      <c r="F70" s="415"/>
      <c r="G70" s="415"/>
      <c r="H70" s="415"/>
      <c r="I70" s="415"/>
      <c r="J70" s="415"/>
      <c r="K70" s="416"/>
      <c r="M70" s="349"/>
      <c r="N70" s="415"/>
      <c r="O70" s="415"/>
      <c r="P70" s="415"/>
      <c r="Q70" s="415"/>
      <c r="R70" s="415"/>
      <c r="S70" s="415"/>
      <c r="T70" s="415"/>
      <c r="U70" s="415"/>
      <c r="V70" s="416"/>
    </row>
    <row r="71" spans="1:22" ht="12" customHeight="1">
      <c r="A71" s="243"/>
      <c r="B71" s="349"/>
      <c r="C71" s="415"/>
      <c r="D71" s="415"/>
      <c r="E71" s="415"/>
      <c r="F71" s="415"/>
      <c r="G71" s="415"/>
      <c r="H71" s="415"/>
      <c r="I71" s="415"/>
      <c r="J71" s="415"/>
      <c r="K71" s="416"/>
      <c r="M71" s="349"/>
      <c r="N71" s="415"/>
      <c r="O71" s="415"/>
      <c r="P71" s="415"/>
      <c r="Q71" s="415"/>
      <c r="R71" s="415"/>
      <c r="S71" s="415"/>
      <c r="T71" s="415"/>
      <c r="U71" s="415"/>
      <c r="V71" s="416"/>
    </row>
    <row r="72" spans="1:22" ht="12" customHeight="1">
      <c r="A72" s="243"/>
      <c r="B72" s="349"/>
      <c r="C72" s="415"/>
      <c r="D72" s="415"/>
      <c r="E72" s="415"/>
      <c r="F72" s="415"/>
      <c r="G72" s="415"/>
      <c r="H72" s="415"/>
      <c r="I72" s="415"/>
      <c r="J72" s="415"/>
      <c r="K72" s="416"/>
      <c r="M72" s="349"/>
      <c r="N72" s="415"/>
      <c r="O72" s="415"/>
      <c r="P72" s="415"/>
      <c r="Q72" s="415"/>
      <c r="R72" s="415"/>
      <c r="S72" s="415"/>
      <c r="T72" s="415"/>
      <c r="U72" s="415"/>
      <c r="V72" s="416"/>
    </row>
    <row r="73" spans="1:22" ht="12" customHeight="1">
      <c r="A73" s="243"/>
      <c r="B73" s="349"/>
      <c r="C73" s="415"/>
      <c r="D73" s="415"/>
      <c r="E73" s="415"/>
      <c r="F73" s="415"/>
      <c r="G73" s="415"/>
      <c r="H73" s="415"/>
      <c r="I73" s="415"/>
      <c r="J73" s="415"/>
      <c r="K73" s="416"/>
      <c r="M73" s="349"/>
      <c r="N73" s="415"/>
      <c r="O73" s="415"/>
      <c r="P73" s="415"/>
      <c r="Q73" s="415"/>
      <c r="R73" s="415"/>
      <c r="S73" s="415"/>
      <c r="T73" s="415"/>
      <c r="U73" s="415"/>
      <c r="V73" s="416"/>
    </row>
    <row r="74" spans="1:22" ht="12" customHeight="1">
      <c r="A74" s="243"/>
      <c r="B74" s="349"/>
      <c r="C74" s="415"/>
      <c r="D74" s="415"/>
      <c r="E74" s="415"/>
      <c r="F74" s="415"/>
      <c r="G74" s="415"/>
      <c r="H74" s="415"/>
      <c r="I74" s="415"/>
      <c r="J74" s="415"/>
      <c r="K74" s="416"/>
      <c r="M74" s="349"/>
      <c r="N74" s="415"/>
      <c r="O74" s="415"/>
      <c r="P74" s="415"/>
      <c r="Q74" s="415"/>
      <c r="R74" s="415"/>
      <c r="S74" s="415"/>
      <c r="T74" s="415"/>
      <c r="U74" s="415"/>
      <c r="V74" s="416"/>
    </row>
    <row r="75" spans="1:22" ht="12" customHeight="1">
      <c r="A75" s="243"/>
      <c r="B75" s="349"/>
      <c r="C75" s="415"/>
      <c r="D75" s="415"/>
      <c r="E75" s="415"/>
      <c r="F75" s="415"/>
      <c r="G75" s="415"/>
      <c r="H75" s="415"/>
      <c r="I75" s="415"/>
      <c r="J75" s="415"/>
      <c r="K75" s="416"/>
      <c r="M75" s="349"/>
      <c r="N75" s="415"/>
      <c r="O75" s="415"/>
      <c r="P75" s="415"/>
      <c r="Q75" s="415"/>
      <c r="R75" s="415"/>
      <c r="S75" s="415"/>
      <c r="T75" s="415"/>
      <c r="U75" s="415"/>
      <c r="V75" s="416"/>
    </row>
    <row r="76" spans="1:22" ht="12" customHeight="1">
      <c r="A76" s="243"/>
      <c r="B76" s="349"/>
      <c r="C76" s="415"/>
      <c r="D76" s="415"/>
      <c r="E76" s="415"/>
      <c r="F76" s="415"/>
      <c r="G76" s="415"/>
      <c r="H76" s="415"/>
      <c r="I76" s="415"/>
      <c r="J76" s="415"/>
      <c r="K76" s="416"/>
      <c r="M76" s="349"/>
      <c r="N76" s="415"/>
      <c r="O76" s="415"/>
      <c r="P76" s="415"/>
      <c r="Q76" s="415"/>
      <c r="R76" s="415"/>
      <c r="S76" s="415"/>
      <c r="T76" s="415"/>
      <c r="U76" s="415"/>
      <c r="V76" s="416"/>
    </row>
    <row r="77" spans="1:22" ht="12" customHeight="1">
      <c r="A77" s="243"/>
      <c r="B77" s="349"/>
      <c r="C77" s="415"/>
      <c r="D77" s="415"/>
      <c r="E77" s="415"/>
      <c r="F77" s="415"/>
      <c r="G77" s="415"/>
      <c r="H77" s="415"/>
      <c r="I77" s="415"/>
      <c r="J77" s="415"/>
      <c r="K77" s="416"/>
      <c r="M77" s="349"/>
      <c r="N77" s="415"/>
      <c r="O77" s="415"/>
      <c r="P77" s="415"/>
      <c r="Q77" s="415"/>
      <c r="R77" s="415"/>
      <c r="S77" s="415"/>
      <c r="T77" s="415"/>
      <c r="U77" s="415"/>
      <c r="V77" s="416"/>
    </row>
    <row r="78" spans="1:22" ht="12" customHeight="1">
      <c r="A78" s="243"/>
      <c r="B78" s="349"/>
      <c r="C78" s="415"/>
      <c r="D78" s="415"/>
      <c r="E78" s="415"/>
      <c r="F78" s="415"/>
      <c r="G78" s="415"/>
      <c r="H78" s="415"/>
      <c r="I78" s="415"/>
      <c r="J78" s="415"/>
      <c r="K78" s="416"/>
      <c r="M78" s="349"/>
      <c r="N78" s="415"/>
      <c r="O78" s="415"/>
      <c r="P78" s="415"/>
      <c r="Q78" s="415"/>
      <c r="R78" s="415"/>
      <c r="S78" s="415"/>
      <c r="T78" s="415"/>
      <c r="U78" s="415"/>
      <c r="V78" s="416"/>
    </row>
    <row r="79" spans="1:22" ht="12" customHeight="1">
      <c r="A79" s="243"/>
      <c r="B79" s="349"/>
      <c r="C79" s="415"/>
      <c r="D79" s="415"/>
      <c r="E79" s="415"/>
      <c r="F79" s="415"/>
      <c r="G79" s="415"/>
      <c r="H79" s="415"/>
      <c r="I79" s="415"/>
      <c r="J79" s="415"/>
      <c r="K79" s="416"/>
      <c r="M79" s="349"/>
      <c r="N79" s="415"/>
      <c r="O79" s="415"/>
      <c r="P79" s="415"/>
      <c r="Q79" s="415"/>
      <c r="R79" s="415"/>
      <c r="S79" s="415"/>
      <c r="T79" s="415"/>
      <c r="U79" s="415"/>
      <c r="V79" s="416"/>
    </row>
    <row r="80" spans="1:22" ht="12" customHeight="1">
      <c r="A80" s="243"/>
      <c r="B80" s="349"/>
      <c r="C80" s="415"/>
      <c r="D80" s="415"/>
      <c r="E80" s="415"/>
      <c r="F80" s="415"/>
      <c r="G80" s="415"/>
      <c r="H80" s="415"/>
      <c r="I80" s="415"/>
      <c r="J80" s="415"/>
      <c r="K80" s="416"/>
      <c r="M80" s="349"/>
      <c r="N80" s="415"/>
      <c r="O80" s="415"/>
      <c r="P80" s="415"/>
      <c r="Q80" s="415"/>
      <c r="R80" s="415"/>
      <c r="S80" s="415"/>
      <c r="T80" s="415"/>
      <c r="U80" s="415"/>
      <c r="V80" s="416"/>
    </row>
    <row r="81" spans="1:22" ht="12" customHeight="1">
      <c r="A81" s="243"/>
      <c r="B81" s="349"/>
      <c r="C81" s="415"/>
      <c r="D81" s="415"/>
      <c r="E81" s="415"/>
      <c r="F81" s="415"/>
      <c r="G81" s="415"/>
      <c r="H81" s="415"/>
      <c r="I81" s="415"/>
      <c r="J81" s="415"/>
      <c r="K81" s="416"/>
      <c r="M81" s="349"/>
      <c r="N81" s="415"/>
      <c r="O81" s="415"/>
      <c r="P81" s="415"/>
      <c r="Q81" s="415"/>
      <c r="R81" s="415"/>
      <c r="S81" s="415"/>
      <c r="T81" s="415"/>
      <c r="U81" s="415"/>
      <c r="V81" s="416"/>
    </row>
    <row r="82" spans="1:22" ht="12" customHeight="1">
      <c r="A82" s="243"/>
      <c r="B82" s="349"/>
      <c r="C82" s="415"/>
      <c r="D82" s="415"/>
      <c r="E82" s="415"/>
      <c r="F82" s="415"/>
      <c r="G82" s="415"/>
      <c r="H82" s="415"/>
      <c r="I82" s="415"/>
      <c r="J82" s="415"/>
      <c r="K82" s="416"/>
      <c r="M82" s="349"/>
      <c r="N82" s="415"/>
      <c r="O82" s="415"/>
      <c r="P82" s="415"/>
      <c r="Q82" s="415"/>
      <c r="R82" s="415"/>
      <c r="S82" s="415"/>
      <c r="T82" s="415"/>
      <c r="U82" s="415"/>
      <c r="V82" s="416"/>
    </row>
    <row r="83" spans="1:22" ht="12" customHeight="1">
      <c r="A83" s="243"/>
      <c r="B83" s="349"/>
      <c r="C83" s="415"/>
      <c r="D83" s="415"/>
      <c r="E83" s="415"/>
      <c r="F83" s="415"/>
      <c r="G83" s="415"/>
      <c r="H83" s="415"/>
      <c r="I83" s="415"/>
      <c r="J83" s="415"/>
      <c r="K83" s="416"/>
      <c r="M83" s="349"/>
      <c r="N83" s="415"/>
      <c r="O83" s="415"/>
      <c r="P83" s="415"/>
      <c r="Q83" s="415"/>
      <c r="R83" s="415"/>
      <c r="S83" s="415"/>
      <c r="T83" s="415"/>
      <c r="U83" s="415"/>
      <c r="V83" s="416"/>
    </row>
    <row r="84" spans="1:22" ht="12" customHeight="1">
      <c r="A84" s="243"/>
      <c r="B84" s="349"/>
      <c r="C84" s="415"/>
      <c r="D84" s="415"/>
      <c r="E84" s="415"/>
      <c r="F84" s="415"/>
      <c r="G84" s="415"/>
      <c r="H84" s="415"/>
      <c r="I84" s="415"/>
      <c r="J84" s="415"/>
      <c r="K84" s="416"/>
      <c r="M84" s="349"/>
      <c r="N84" s="415"/>
      <c r="O84" s="415"/>
      <c r="P84" s="415"/>
      <c r="Q84" s="415"/>
      <c r="R84" s="415"/>
      <c r="S84" s="415"/>
      <c r="T84" s="415"/>
      <c r="U84" s="415"/>
      <c r="V84" s="416"/>
    </row>
    <row r="85" spans="1:22" ht="12" customHeight="1">
      <c r="A85" s="243"/>
      <c r="B85" s="349"/>
      <c r="C85" s="415"/>
      <c r="D85" s="415"/>
      <c r="E85" s="415"/>
      <c r="F85" s="415"/>
      <c r="G85" s="415"/>
      <c r="H85" s="415"/>
      <c r="I85" s="415"/>
      <c r="J85" s="415"/>
      <c r="K85" s="416"/>
      <c r="M85" s="349"/>
      <c r="N85" s="415"/>
      <c r="O85" s="415"/>
      <c r="P85" s="415"/>
      <c r="Q85" s="415"/>
      <c r="R85" s="415"/>
      <c r="S85" s="415"/>
      <c r="T85" s="415"/>
      <c r="U85" s="415"/>
      <c r="V85" s="416"/>
    </row>
    <row r="86" spans="1:22" ht="12" customHeight="1">
      <c r="A86" s="243"/>
      <c r="B86" s="349"/>
      <c r="C86" s="415"/>
      <c r="D86" s="415"/>
      <c r="E86" s="415"/>
      <c r="F86" s="415"/>
      <c r="G86" s="415"/>
      <c r="H86" s="415"/>
      <c r="I86" s="415"/>
      <c r="J86" s="415"/>
      <c r="K86" s="416"/>
      <c r="M86" s="349"/>
      <c r="N86" s="415"/>
      <c r="O86" s="415"/>
      <c r="P86" s="415"/>
      <c r="Q86" s="415"/>
      <c r="R86" s="415"/>
      <c r="S86" s="415"/>
      <c r="T86" s="415"/>
      <c r="U86" s="415"/>
      <c r="V86" s="416"/>
    </row>
    <row r="87" spans="1:22" ht="12" customHeight="1">
      <c r="A87" s="243"/>
      <c r="B87" s="349"/>
      <c r="C87" s="415"/>
      <c r="D87" s="415"/>
      <c r="E87" s="415"/>
      <c r="F87" s="415"/>
      <c r="G87" s="415"/>
      <c r="H87" s="415"/>
      <c r="I87" s="415"/>
      <c r="J87" s="415"/>
      <c r="K87" s="416"/>
      <c r="M87" s="349"/>
      <c r="N87" s="415"/>
      <c r="O87" s="415"/>
      <c r="P87" s="415"/>
      <c r="Q87" s="415"/>
      <c r="R87" s="415"/>
      <c r="S87" s="415"/>
      <c r="T87" s="415"/>
      <c r="U87" s="415"/>
      <c r="V87" s="416"/>
    </row>
    <row r="88" spans="1:22" ht="12" customHeight="1">
      <c r="A88" s="243"/>
      <c r="B88" s="349"/>
      <c r="C88" s="415"/>
      <c r="D88" s="415"/>
      <c r="E88" s="415"/>
      <c r="F88" s="415"/>
      <c r="G88" s="415"/>
      <c r="H88" s="415"/>
      <c r="I88" s="415"/>
      <c r="J88" s="415"/>
      <c r="K88" s="416"/>
      <c r="M88" s="349"/>
      <c r="N88" s="415"/>
      <c r="O88" s="415"/>
      <c r="P88" s="415"/>
      <c r="Q88" s="415"/>
      <c r="R88" s="415"/>
      <c r="S88" s="415"/>
      <c r="T88" s="415"/>
      <c r="U88" s="415"/>
      <c r="V88" s="416"/>
    </row>
    <row r="89" spans="1:22" ht="12" customHeight="1">
      <c r="A89" s="243"/>
      <c r="B89" s="349"/>
      <c r="C89" s="415"/>
      <c r="D89" s="415"/>
      <c r="E89" s="415"/>
      <c r="F89" s="415"/>
      <c r="G89" s="415"/>
      <c r="H89" s="415"/>
      <c r="I89" s="415"/>
      <c r="J89" s="415"/>
      <c r="K89" s="416"/>
      <c r="M89" s="349"/>
      <c r="N89" s="415"/>
      <c r="O89" s="415"/>
      <c r="P89" s="415"/>
      <c r="Q89" s="415"/>
      <c r="R89" s="415"/>
      <c r="S89" s="415"/>
      <c r="T89" s="415"/>
      <c r="U89" s="415"/>
      <c r="V89" s="416"/>
    </row>
    <row r="90" spans="1:22" ht="12" customHeight="1">
      <c r="A90" s="243"/>
      <c r="B90" s="349"/>
      <c r="C90" s="415"/>
      <c r="D90" s="415"/>
      <c r="E90" s="415"/>
      <c r="F90" s="415"/>
      <c r="G90" s="415"/>
      <c r="H90" s="415"/>
      <c r="I90" s="415"/>
      <c r="J90" s="415"/>
      <c r="K90" s="416"/>
      <c r="M90" s="349"/>
      <c r="N90" s="415"/>
      <c r="O90" s="415"/>
      <c r="P90" s="415"/>
      <c r="Q90" s="415"/>
      <c r="R90" s="415"/>
      <c r="S90" s="415"/>
      <c r="T90" s="415"/>
      <c r="U90" s="415"/>
      <c r="V90" s="416"/>
    </row>
    <row r="91" spans="1:22" ht="12" customHeight="1">
      <c r="A91" s="243"/>
      <c r="B91" s="349"/>
      <c r="C91" s="415"/>
      <c r="D91" s="415"/>
      <c r="E91" s="415"/>
      <c r="F91" s="415"/>
      <c r="G91" s="415"/>
      <c r="H91" s="415"/>
      <c r="I91" s="415"/>
      <c r="J91" s="415"/>
      <c r="K91" s="416"/>
      <c r="M91" s="349"/>
      <c r="N91" s="415"/>
      <c r="O91" s="415"/>
      <c r="P91" s="415"/>
      <c r="Q91" s="415"/>
      <c r="R91" s="415"/>
      <c r="S91" s="415"/>
      <c r="T91" s="415"/>
      <c r="U91" s="415"/>
      <c r="V91" s="416"/>
    </row>
    <row r="92" spans="1:22" ht="23.25" customHeight="1">
      <c r="A92" s="243"/>
      <c r="B92" s="349"/>
      <c r="C92" s="415"/>
      <c r="D92" s="415"/>
      <c r="E92" s="415"/>
      <c r="F92" s="415"/>
      <c r="G92" s="415"/>
      <c r="H92" s="415"/>
      <c r="I92" s="415"/>
      <c r="J92" s="415"/>
      <c r="K92" s="416"/>
      <c r="M92" s="349"/>
      <c r="N92" s="415"/>
      <c r="O92" s="415"/>
      <c r="P92" s="415"/>
      <c r="Q92" s="415"/>
      <c r="R92" s="415"/>
      <c r="S92" s="415"/>
      <c r="T92" s="415"/>
      <c r="U92" s="415"/>
      <c r="V92" s="416"/>
    </row>
    <row r="93" spans="1:22" ht="12" customHeight="1">
      <c r="A93" s="243"/>
      <c r="B93" s="349"/>
      <c r="C93" s="415"/>
      <c r="D93" s="415"/>
      <c r="E93" s="415"/>
      <c r="F93" s="415"/>
      <c r="G93" s="415"/>
      <c r="H93" s="415"/>
      <c r="I93" s="415"/>
      <c r="J93" s="415"/>
      <c r="K93" s="416"/>
      <c r="M93" s="349"/>
      <c r="N93" s="415"/>
      <c r="O93" s="415"/>
      <c r="P93" s="415"/>
      <c r="Q93" s="415"/>
      <c r="R93" s="415"/>
      <c r="S93" s="415"/>
      <c r="T93" s="415"/>
      <c r="U93" s="415"/>
      <c r="V93" s="416"/>
    </row>
    <row r="94" spans="1:22" ht="12" customHeight="1">
      <c r="A94" s="243"/>
      <c r="B94" s="349"/>
      <c r="C94" s="415"/>
      <c r="D94" s="415"/>
      <c r="E94" s="415"/>
      <c r="F94" s="415"/>
      <c r="G94" s="415"/>
      <c r="H94" s="415"/>
      <c r="I94" s="415"/>
      <c r="J94" s="415"/>
      <c r="K94" s="416"/>
      <c r="M94" s="349"/>
      <c r="N94" s="415"/>
      <c r="O94" s="415"/>
      <c r="P94" s="415"/>
      <c r="Q94" s="415"/>
      <c r="R94" s="415"/>
      <c r="S94" s="415"/>
      <c r="T94" s="415"/>
      <c r="U94" s="415"/>
      <c r="V94" s="416"/>
    </row>
    <row r="95" spans="1:22" ht="12" customHeight="1">
      <c r="A95" s="243"/>
      <c r="B95" s="349"/>
      <c r="C95" s="415"/>
      <c r="D95" s="415"/>
      <c r="E95" s="415"/>
      <c r="F95" s="415"/>
      <c r="G95" s="415"/>
      <c r="H95" s="415"/>
      <c r="I95" s="415"/>
      <c r="J95" s="415"/>
      <c r="K95" s="416"/>
      <c r="M95" s="349"/>
      <c r="N95" s="415"/>
      <c r="O95" s="415"/>
      <c r="P95" s="415"/>
      <c r="Q95" s="415"/>
      <c r="R95" s="415"/>
      <c r="S95" s="415"/>
      <c r="T95" s="415"/>
      <c r="U95" s="415"/>
      <c r="V95" s="416"/>
    </row>
    <row r="96" spans="1:22" ht="12" customHeight="1">
      <c r="A96" s="243"/>
      <c r="B96" s="349"/>
      <c r="C96" s="415"/>
      <c r="D96" s="415"/>
      <c r="E96" s="415"/>
      <c r="F96" s="415"/>
      <c r="G96" s="415"/>
      <c r="H96" s="415"/>
      <c r="I96" s="415"/>
      <c r="J96" s="415"/>
      <c r="K96" s="416"/>
      <c r="M96" s="349"/>
      <c r="N96" s="415"/>
      <c r="O96" s="415"/>
      <c r="P96" s="415"/>
      <c r="Q96" s="415"/>
      <c r="R96" s="415"/>
      <c r="S96" s="415"/>
      <c r="T96" s="415"/>
      <c r="U96" s="415"/>
      <c r="V96" s="416"/>
    </row>
    <row r="97" spans="1:22" ht="12" customHeight="1">
      <c r="A97" s="243"/>
      <c r="B97" s="349"/>
      <c r="C97" s="415"/>
      <c r="D97" s="415"/>
      <c r="E97" s="415"/>
      <c r="F97" s="415"/>
      <c r="G97" s="415"/>
      <c r="H97" s="415"/>
      <c r="I97" s="415"/>
      <c r="J97" s="415"/>
      <c r="K97" s="416"/>
      <c r="M97" s="349"/>
      <c r="N97" s="415"/>
      <c r="O97" s="415"/>
      <c r="P97" s="415"/>
      <c r="Q97" s="415"/>
      <c r="R97" s="415"/>
      <c r="S97" s="415"/>
      <c r="T97" s="415"/>
      <c r="U97" s="415"/>
      <c r="V97" s="416"/>
    </row>
    <row r="98" spans="1:22" ht="12" customHeight="1">
      <c r="A98" s="243"/>
      <c r="B98" s="349"/>
      <c r="C98" s="415"/>
      <c r="D98" s="415"/>
      <c r="E98" s="415"/>
      <c r="F98" s="415"/>
      <c r="G98" s="415"/>
      <c r="H98" s="415"/>
      <c r="I98" s="415"/>
      <c r="J98" s="415"/>
      <c r="K98" s="416"/>
      <c r="M98" s="349"/>
      <c r="N98" s="415"/>
      <c r="O98" s="415"/>
      <c r="P98" s="415"/>
      <c r="Q98" s="415"/>
      <c r="R98" s="415"/>
      <c r="S98" s="415"/>
      <c r="T98" s="415"/>
      <c r="U98" s="415"/>
      <c r="V98" s="416"/>
    </row>
    <row r="99" spans="1:22" ht="12" customHeight="1">
      <c r="A99" s="243"/>
      <c r="B99" s="349"/>
      <c r="C99" s="415"/>
      <c r="D99" s="415"/>
      <c r="E99" s="415"/>
      <c r="F99" s="415"/>
      <c r="G99" s="415"/>
      <c r="H99" s="415"/>
      <c r="I99" s="415"/>
      <c r="J99" s="415"/>
      <c r="K99" s="416"/>
      <c r="M99" s="349"/>
      <c r="N99" s="415"/>
      <c r="O99" s="415"/>
      <c r="P99" s="415"/>
      <c r="Q99" s="415"/>
      <c r="R99" s="415"/>
      <c r="S99" s="415"/>
      <c r="T99" s="415"/>
      <c r="U99" s="415"/>
      <c r="V99" s="416"/>
    </row>
    <row r="100" spans="1:22" ht="12" customHeight="1">
      <c r="A100" s="243"/>
      <c r="B100" s="349"/>
      <c r="C100" s="415"/>
      <c r="D100" s="415"/>
      <c r="E100" s="415"/>
      <c r="F100" s="415"/>
      <c r="G100" s="415"/>
      <c r="H100" s="415"/>
      <c r="I100" s="415"/>
      <c r="J100" s="415"/>
      <c r="K100" s="416"/>
      <c r="M100" s="349"/>
      <c r="N100" s="415"/>
      <c r="O100" s="415"/>
      <c r="P100" s="415"/>
      <c r="Q100" s="415"/>
      <c r="R100" s="415"/>
      <c r="S100" s="415"/>
      <c r="T100" s="415"/>
      <c r="U100" s="415"/>
      <c r="V100" s="416"/>
    </row>
    <row r="101" spans="1:22" ht="12" customHeight="1">
      <c r="A101" s="243"/>
      <c r="B101" s="349"/>
      <c r="C101" s="415"/>
      <c r="D101" s="415"/>
      <c r="E101" s="415"/>
      <c r="F101" s="415"/>
      <c r="G101" s="415"/>
      <c r="H101" s="415"/>
      <c r="I101" s="415"/>
      <c r="J101" s="415"/>
      <c r="K101" s="416"/>
      <c r="M101" s="349"/>
      <c r="N101" s="415"/>
      <c r="O101" s="415"/>
      <c r="P101" s="415"/>
      <c r="Q101" s="415"/>
      <c r="R101" s="415"/>
      <c r="S101" s="415"/>
      <c r="T101" s="415"/>
      <c r="U101" s="415"/>
      <c r="V101" s="416"/>
    </row>
    <row r="102" spans="1:22" ht="12" customHeight="1">
      <c r="A102" s="243"/>
      <c r="B102" s="349"/>
      <c r="C102" s="415"/>
      <c r="D102" s="415"/>
      <c r="E102" s="415"/>
      <c r="F102" s="415"/>
      <c r="G102" s="415"/>
      <c r="H102" s="415"/>
      <c r="I102" s="415"/>
      <c r="J102" s="415"/>
      <c r="K102" s="416"/>
      <c r="M102" s="349"/>
      <c r="N102" s="415"/>
      <c r="O102" s="415"/>
      <c r="P102" s="415"/>
      <c r="Q102" s="415"/>
      <c r="R102" s="415"/>
      <c r="S102" s="415"/>
      <c r="T102" s="415"/>
      <c r="U102" s="415"/>
      <c r="V102" s="416"/>
    </row>
    <row r="103" spans="1:22" ht="12" customHeight="1">
      <c r="A103" s="243"/>
      <c r="B103" s="349"/>
      <c r="C103" s="415"/>
      <c r="D103" s="415"/>
      <c r="E103" s="415"/>
      <c r="F103" s="415"/>
      <c r="G103" s="415"/>
      <c r="H103" s="415"/>
      <c r="I103" s="415"/>
      <c r="J103" s="415"/>
      <c r="K103" s="416"/>
      <c r="M103" s="349"/>
      <c r="N103" s="415"/>
      <c r="O103" s="415"/>
      <c r="P103" s="415"/>
      <c r="Q103" s="415"/>
      <c r="R103" s="415"/>
      <c r="S103" s="415"/>
      <c r="T103" s="415"/>
      <c r="U103" s="415"/>
      <c r="V103" s="416"/>
    </row>
    <row r="104" spans="1:22" ht="12" customHeight="1">
      <c r="A104" s="243"/>
      <c r="B104" s="348"/>
      <c r="C104" s="417"/>
      <c r="D104" s="417"/>
      <c r="E104" s="417"/>
      <c r="F104" s="417"/>
      <c r="G104" s="417"/>
      <c r="H104" s="417"/>
      <c r="I104" s="417"/>
      <c r="J104" s="417"/>
      <c r="K104" s="418"/>
      <c r="M104" s="348"/>
      <c r="N104" s="417"/>
      <c r="O104" s="417"/>
      <c r="P104" s="417"/>
      <c r="Q104" s="417"/>
      <c r="R104" s="417"/>
      <c r="S104" s="417"/>
      <c r="T104" s="417"/>
      <c r="U104" s="417"/>
      <c r="V104" s="418"/>
    </row>
    <row r="106" spans="1:22" ht="26.25">
      <c r="A106" s="243"/>
      <c r="B106" s="347">
        <v>5</v>
      </c>
      <c r="C106" s="419" t="s">
        <v>345</v>
      </c>
      <c r="D106" s="420"/>
    </row>
    <row r="107" spans="1:22" ht="25.5">
      <c r="A107" s="243"/>
      <c r="B107" s="349"/>
      <c r="C107" s="208" t="s">
        <v>446</v>
      </c>
      <c r="D107" s="126"/>
    </row>
    <row r="108" spans="1:22" ht="25.5">
      <c r="A108" s="243"/>
      <c r="B108" s="349"/>
      <c r="C108" s="208" t="s">
        <v>447</v>
      </c>
      <c r="D108" s="126"/>
      <c r="E108" s="272" t="s">
        <v>620</v>
      </c>
      <c r="F108" s="271"/>
      <c r="G108" s="271"/>
      <c r="H108" s="271"/>
      <c r="I108" s="271"/>
      <c r="J108" s="271"/>
      <c r="K108" s="271"/>
      <c r="L108" s="276"/>
    </row>
    <row r="109" spans="1:22" ht="11.45" customHeight="1">
      <c r="A109" s="243"/>
      <c r="B109" s="349"/>
    </row>
    <row r="110" spans="1:22" ht="11.45" customHeight="1">
      <c r="A110" s="243"/>
      <c r="B110" s="349"/>
    </row>
    <row r="111" spans="1:22" ht="26.25">
      <c r="A111" s="243"/>
      <c r="B111" s="349"/>
      <c r="C111" s="209" t="s">
        <v>576</v>
      </c>
      <c r="D111" s="127">
        <f>-D107+D108</f>
        <v>0</v>
      </c>
    </row>
    <row r="112" spans="1:22" ht="11.45" customHeight="1">
      <c r="A112" s="243"/>
      <c r="B112" s="349"/>
    </row>
    <row r="113" spans="1:11" ht="25.5">
      <c r="A113" s="243"/>
      <c r="B113" s="349"/>
      <c r="C113" s="208" t="s">
        <v>530</v>
      </c>
      <c r="D113" s="126"/>
    </row>
    <row r="114" spans="1:11" ht="25.5">
      <c r="A114" s="243"/>
      <c r="B114" s="349"/>
      <c r="C114" s="208" t="s">
        <v>529</v>
      </c>
      <c r="D114" s="126"/>
    </row>
    <row r="115" spans="1:11">
      <c r="A115" s="243"/>
      <c r="B115" s="349"/>
    </row>
    <row r="116" spans="1:11" ht="11.45" customHeight="1">
      <c r="A116" s="243"/>
      <c r="B116" s="349"/>
    </row>
    <row r="117" spans="1:11" ht="23.25">
      <c r="A117" s="243"/>
      <c r="B117" s="349"/>
      <c r="C117" s="210" t="s">
        <v>573</v>
      </c>
      <c r="D117" s="203" t="str">
        <f>IF(D111&gt;=0,"geen financieel tekort",D111+D113+D114)</f>
        <v>geen financieel tekort</v>
      </c>
    </row>
    <row r="118" spans="1:11" ht="11.45" customHeight="1">
      <c r="A118" s="243"/>
      <c r="B118" s="349"/>
    </row>
    <row r="119" spans="1:11" ht="26.25">
      <c r="A119" s="243"/>
      <c r="B119" s="349"/>
      <c r="C119" s="421" t="s">
        <v>571</v>
      </c>
      <c r="D119" s="421"/>
      <c r="E119" s="421"/>
      <c r="F119" s="421"/>
      <c r="G119" s="421"/>
      <c r="H119" s="421"/>
      <c r="I119" s="421"/>
      <c r="J119" s="421"/>
      <c r="K119" s="422"/>
    </row>
    <row r="120" spans="1:11" ht="11.45" customHeight="1">
      <c r="A120" s="243"/>
      <c r="B120" s="349"/>
      <c r="C120" s="413"/>
      <c r="D120" s="413"/>
      <c r="E120" s="413"/>
      <c r="F120" s="413"/>
      <c r="G120" s="413"/>
      <c r="H120" s="413"/>
      <c r="I120" s="413"/>
      <c r="J120" s="413"/>
      <c r="K120" s="414"/>
    </row>
    <row r="121" spans="1:11" ht="11.45" customHeight="1">
      <c r="A121" s="243"/>
      <c r="B121" s="349"/>
      <c r="C121" s="415"/>
      <c r="D121" s="415"/>
      <c r="E121" s="415"/>
      <c r="F121" s="415"/>
      <c r="G121" s="415"/>
      <c r="H121" s="415"/>
      <c r="I121" s="415"/>
      <c r="J121" s="415"/>
      <c r="K121" s="416"/>
    </row>
    <row r="122" spans="1:11" ht="11.45" customHeight="1">
      <c r="A122" s="243"/>
      <c r="B122" s="349"/>
      <c r="C122" s="415"/>
      <c r="D122" s="415"/>
      <c r="E122" s="415"/>
      <c r="F122" s="415"/>
      <c r="G122" s="415"/>
      <c r="H122" s="415"/>
      <c r="I122" s="415"/>
      <c r="J122" s="415"/>
      <c r="K122" s="416"/>
    </row>
    <row r="123" spans="1:11" ht="11.45" customHeight="1">
      <c r="A123" s="243"/>
      <c r="B123" s="349"/>
      <c r="C123" s="415"/>
      <c r="D123" s="415"/>
      <c r="E123" s="415"/>
      <c r="F123" s="415"/>
      <c r="G123" s="415"/>
      <c r="H123" s="415"/>
      <c r="I123" s="415"/>
      <c r="J123" s="415"/>
      <c r="K123" s="416"/>
    </row>
    <row r="124" spans="1:11" ht="11.45" customHeight="1">
      <c r="A124" s="243"/>
      <c r="B124" s="349"/>
      <c r="C124" s="415"/>
      <c r="D124" s="415"/>
      <c r="E124" s="415"/>
      <c r="F124" s="415"/>
      <c r="G124" s="415"/>
      <c r="H124" s="415"/>
      <c r="I124" s="415"/>
      <c r="J124" s="415"/>
      <c r="K124" s="416"/>
    </row>
    <row r="125" spans="1:11" ht="11.45" customHeight="1">
      <c r="A125" s="243"/>
      <c r="B125" s="349"/>
      <c r="C125" s="415"/>
      <c r="D125" s="415"/>
      <c r="E125" s="415"/>
      <c r="F125" s="415"/>
      <c r="G125" s="415"/>
      <c r="H125" s="415"/>
      <c r="I125" s="415"/>
      <c r="J125" s="415"/>
      <c r="K125" s="416"/>
    </row>
    <row r="126" spans="1:11" ht="11.45" customHeight="1">
      <c r="A126" s="243"/>
      <c r="B126" s="349"/>
      <c r="C126" s="415"/>
      <c r="D126" s="415"/>
      <c r="E126" s="415"/>
      <c r="F126" s="415"/>
      <c r="G126" s="415"/>
      <c r="H126" s="415"/>
      <c r="I126" s="415"/>
      <c r="J126" s="415"/>
      <c r="K126" s="416"/>
    </row>
    <row r="127" spans="1:11" ht="11.45" customHeight="1">
      <c r="A127" s="243"/>
      <c r="B127" s="349"/>
      <c r="C127" s="415"/>
      <c r="D127" s="415"/>
      <c r="E127" s="415"/>
      <c r="F127" s="415"/>
      <c r="G127" s="415"/>
      <c r="H127" s="415"/>
      <c r="I127" s="415"/>
      <c r="J127" s="415"/>
      <c r="K127" s="416"/>
    </row>
    <row r="128" spans="1:11" ht="11.45" customHeight="1">
      <c r="A128" s="243"/>
      <c r="B128" s="349"/>
      <c r="C128" s="415"/>
      <c r="D128" s="415"/>
      <c r="E128" s="415"/>
      <c r="F128" s="415"/>
      <c r="G128" s="415"/>
      <c r="H128" s="415"/>
      <c r="I128" s="415"/>
      <c r="J128" s="415"/>
      <c r="K128" s="416"/>
    </row>
    <row r="129" spans="1:11" ht="11.45" customHeight="1">
      <c r="A129" s="243"/>
      <c r="B129" s="349"/>
      <c r="C129" s="415"/>
      <c r="D129" s="415"/>
      <c r="E129" s="415"/>
      <c r="F129" s="415"/>
      <c r="G129" s="415"/>
      <c r="H129" s="415"/>
      <c r="I129" s="415"/>
      <c r="J129" s="415"/>
      <c r="K129" s="416"/>
    </row>
    <row r="130" spans="1:11" ht="11.45" customHeight="1">
      <c r="A130" s="243"/>
      <c r="B130" s="349"/>
      <c r="C130" s="415"/>
      <c r="D130" s="415"/>
      <c r="E130" s="415"/>
      <c r="F130" s="415"/>
      <c r="G130" s="415"/>
      <c r="H130" s="415"/>
      <c r="I130" s="415"/>
      <c r="J130" s="415"/>
      <c r="K130" s="416"/>
    </row>
    <row r="131" spans="1:11" ht="11.45" customHeight="1">
      <c r="A131" s="243"/>
      <c r="B131" s="349"/>
      <c r="C131" s="415"/>
      <c r="D131" s="415"/>
      <c r="E131" s="415"/>
      <c r="F131" s="415"/>
      <c r="G131" s="415"/>
      <c r="H131" s="415"/>
      <c r="I131" s="415"/>
      <c r="J131" s="415"/>
      <c r="K131" s="416"/>
    </row>
    <row r="132" spans="1:11" ht="11.45" customHeight="1">
      <c r="A132" s="243"/>
      <c r="B132" s="349"/>
      <c r="C132" s="415"/>
      <c r="D132" s="415"/>
      <c r="E132" s="415"/>
      <c r="F132" s="415"/>
      <c r="G132" s="415"/>
      <c r="H132" s="415"/>
      <c r="I132" s="415"/>
      <c r="J132" s="415"/>
      <c r="K132" s="416"/>
    </row>
    <row r="133" spans="1:11" ht="11.45" customHeight="1">
      <c r="A133" s="243"/>
      <c r="B133" s="349"/>
      <c r="C133" s="415"/>
      <c r="D133" s="415"/>
      <c r="E133" s="415"/>
      <c r="F133" s="415"/>
      <c r="G133" s="415"/>
      <c r="H133" s="415"/>
      <c r="I133" s="415"/>
      <c r="J133" s="415"/>
      <c r="K133" s="416"/>
    </row>
    <row r="134" spans="1:11" ht="11.45" customHeight="1">
      <c r="A134" s="243"/>
      <c r="B134" s="349"/>
      <c r="C134" s="415"/>
      <c r="D134" s="415"/>
      <c r="E134" s="415"/>
      <c r="F134" s="415"/>
      <c r="G134" s="415"/>
      <c r="H134" s="415"/>
      <c r="I134" s="415"/>
      <c r="J134" s="415"/>
      <c r="K134" s="416"/>
    </row>
    <row r="135" spans="1:11" ht="11.45" customHeight="1">
      <c r="A135" s="243"/>
      <c r="B135" s="349"/>
      <c r="C135" s="415"/>
      <c r="D135" s="415"/>
      <c r="E135" s="415"/>
      <c r="F135" s="415"/>
      <c r="G135" s="415"/>
      <c r="H135" s="415"/>
      <c r="I135" s="415"/>
      <c r="J135" s="415"/>
      <c r="K135" s="416"/>
    </row>
    <row r="136" spans="1:11" ht="11.45" customHeight="1">
      <c r="A136" s="243"/>
      <c r="B136" s="349"/>
      <c r="C136" s="415"/>
      <c r="D136" s="415"/>
      <c r="E136" s="415"/>
      <c r="F136" s="415"/>
      <c r="G136" s="415"/>
      <c r="H136" s="415"/>
      <c r="I136" s="415"/>
      <c r="J136" s="415"/>
      <c r="K136" s="416"/>
    </row>
    <row r="137" spans="1:11" ht="11.45" customHeight="1">
      <c r="A137" s="243"/>
      <c r="B137" s="349"/>
      <c r="C137" s="415"/>
      <c r="D137" s="415"/>
      <c r="E137" s="415"/>
      <c r="F137" s="415"/>
      <c r="G137" s="415"/>
      <c r="H137" s="415"/>
      <c r="I137" s="415"/>
      <c r="J137" s="415"/>
      <c r="K137" s="416"/>
    </row>
    <row r="138" spans="1:11" ht="11.45" customHeight="1">
      <c r="A138" s="243"/>
      <c r="B138" s="349"/>
      <c r="C138" s="415"/>
      <c r="D138" s="415"/>
      <c r="E138" s="415"/>
      <c r="F138" s="415"/>
      <c r="G138" s="415"/>
      <c r="H138" s="415"/>
      <c r="I138" s="415"/>
      <c r="J138" s="415"/>
      <c r="K138" s="416"/>
    </row>
    <row r="139" spans="1:11" ht="11.45" customHeight="1">
      <c r="A139" s="243"/>
      <c r="B139" s="349"/>
      <c r="C139" s="415"/>
      <c r="D139" s="415"/>
      <c r="E139" s="415"/>
      <c r="F139" s="415"/>
      <c r="G139" s="415"/>
      <c r="H139" s="415"/>
      <c r="I139" s="415"/>
      <c r="J139" s="415"/>
      <c r="K139" s="416"/>
    </row>
    <row r="140" spans="1:11" ht="11.45" customHeight="1">
      <c r="A140" s="243"/>
      <c r="B140" s="349"/>
      <c r="C140" s="415"/>
      <c r="D140" s="415"/>
      <c r="E140" s="415"/>
      <c r="F140" s="415"/>
      <c r="G140" s="415"/>
      <c r="H140" s="415"/>
      <c r="I140" s="415"/>
      <c r="J140" s="415"/>
      <c r="K140" s="416"/>
    </row>
    <row r="141" spans="1:11" ht="11.45" customHeight="1">
      <c r="A141" s="243"/>
      <c r="B141" s="349"/>
      <c r="C141" s="415"/>
      <c r="D141" s="415"/>
      <c r="E141" s="415"/>
      <c r="F141" s="415"/>
      <c r="G141" s="415"/>
      <c r="H141" s="415"/>
      <c r="I141" s="415"/>
      <c r="J141" s="415"/>
      <c r="K141" s="416"/>
    </row>
    <row r="142" spans="1:11" ht="11.45" customHeight="1">
      <c r="A142" s="243"/>
      <c r="B142" s="349"/>
      <c r="C142" s="415"/>
      <c r="D142" s="415"/>
      <c r="E142" s="415"/>
      <c r="F142" s="415"/>
      <c r="G142" s="415"/>
      <c r="H142" s="415"/>
      <c r="I142" s="415"/>
      <c r="J142" s="415"/>
      <c r="K142" s="416"/>
    </row>
    <row r="143" spans="1:11" ht="11.45" customHeight="1">
      <c r="A143" s="243"/>
      <c r="B143" s="349"/>
      <c r="C143" s="415"/>
      <c r="D143" s="415"/>
      <c r="E143" s="415"/>
      <c r="F143" s="415"/>
      <c r="G143" s="415"/>
      <c r="H143" s="415"/>
      <c r="I143" s="415"/>
      <c r="J143" s="415"/>
      <c r="K143" s="416"/>
    </row>
    <row r="144" spans="1:11" ht="11.45" customHeight="1">
      <c r="A144" s="243"/>
      <c r="B144" s="349"/>
      <c r="C144" s="415"/>
      <c r="D144" s="415"/>
      <c r="E144" s="415"/>
      <c r="F144" s="415"/>
      <c r="G144" s="415"/>
      <c r="H144" s="415"/>
      <c r="I144" s="415"/>
      <c r="J144" s="415"/>
      <c r="K144" s="416"/>
    </row>
    <row r="145" spans="1:11" ht="11.45" customHeight="1">
      <c r="A145" s="243"/>
      <c r="B145" s="349"/>
      <c r="C145" s="415"/>
      <c r="D145" s="415"/>
      <c r="E145" s="415"/>
      <c r="F145" s="415"/>
      <c r="G145" s="415"/>
      <c r="H145" s="415"/>
      <c r="I145" s="415"/>
      <c r="J145" s="415"/>
      <c r="K145" s="416"/>
    </row>
    <row r="146" spans="1:11" ht="11.45" customHeight="1">
      <c r="A146" s="243"/>
      <c r="B146" s="349"/>
      <c r="C146" s="415"/>
      <c r="D146" s="415"/>
      <c r="E146" s="415"/>
      <c r="F146" s="415"/>
      <c r="G146" s="415"/>
      <c r="H146" s="415"/>
      <c r="I146" s="415"/>
      <c r="J146" s="415"/>
      <c r="K146" s="416"/>
    </row>
    <row r="147" spans="1:11" ht="11.45" customHeight="1">
      <c r="A147" s="243"/>
      <c r="B147" s="349"/>
      <c r="C147" s="415"/>
      <c r="D147" s="415"/>
      <c r="E147" s="415"/>
      <c r="F147" s="415"/>
      <c r="G147" s="415"/>
      <c r="H147" s="415"/>
      <c r="I147" s="415"/>
      <c r="J147" s="415"/>
      <c r="K147" s="416"/>
    </row>
    <row r="148" spans="1:11" ht="11.45" customHeight="1">
      <c r="A148" s="243"/>
      <c r="B148" s="349"/>
      <c r="C148" s="415"/>
      <c r="D148" s="415"/>
      <c r="E148" s="415"/>
      <c r="F148" s="415"/>
      <c r="G148" s="415"/>
      <c r="H148" s="415"/>
      <c r="I148" s="415"/>
      <c r="J148" s="415"/>
      <c r="K148" s="416"/>
    </row>
    <row r="149" spans="1:11" ht="11.45" customHeight="1">
      <c r="A149" s="243"/>
      <c r="B149" s="349"/>
      <c r="C149" s="415"/>
      <c r="D149" s="415"/>
      <c r="E149" s="415"/>
      <c r="F149" s="415"/>
      <c r="G149" s="415"/>
      <c r="H149" s="415"/>
      <c r="I149" s="415"/>
      <c r="J149" s="415"/>
      <c r="K149" s="416"/>
    </row>
    <row r="150" spans="1:11" ht="11.45" customHeight="1">
      <c r="A150" s="243"/>
      <c r="B150" s="349"/>
      <c r="C150" s="415"/>
      <c r="D150" s="415"/>
      <c r="E150" s="415"/>
      <c r="F150" s="415"/>
      <c r="G150" s="415"/>
      <c r="H150" s="415"/>
      <c r="I150" s="415"/>
      <c r="J150" s="415"/>
      <c r="K150" s="416"/>
    </row>
    <row r="151" spans="1:11" ht="11.45" customHeight="1">
      <c r="A151" s="243"/>
      <c r="B151" s="349"/>
      <c r="C151" s="415"/>
      <c r="D151" s="415"/>
      <c r="E151" s="415"/>
      <c r="F151" s="415"/>
      <c r="G151" s="415"/>
      <c r="H151" s="415"/>
      <c r="I151" s="415"/>
      <c r="J151" s="415"/>
      <c r="K151" s="416"/>
    </row>
    <row r="152" spans="1:11" ht="11.45" customHeight="1">
      <c r="A152" s="243"/>
      <c r="B152" s="349"/>
      <c r="C152" s="415"/>
      <c r="D152" s="415"/>
      <c r="E152" s="415"/>
      <c r="F152" s="415"/>
      <c r="G152" s="415"/>
      <c r="H152" s="415"/>
      <c r="I152" s="415"/>
      <c r="J152" s="415"/>
      <c r="K152" s="416"/>
    </row>
    <row r="153" spans="1:11" ht="11.45" customHeight="1">
      <c r="A153" s="243"/>
      <c r="B153" s="349"/>
      <c r="C153" s="415"/>
      <c r="D153" s="415"/>
      <c r="E153" s="415"/>
      <c r="F153" s="415"/>
      <c r="G153" s="415"/>
      <c r="H153" s="415"/>
      <c r="I153" s="415"/>
      <c r="J153" s="415"/>
      <c r="K153" s="416"/>
    </row>
    <row r="154" spans="1:11" ht="11.45" customHeight="1">
      <c r="A154" s="243"/>
      <c r="B154" s="349"/>
      <c r="C154" s="415"/>
      <c r="D154" s="415"/>
      <c r="E154" s="415"/>
      <c r="F154" s="415"/>
      <c r="G154" s="415"/>
      <c r="H154" s="415"/>
      <c r="I154" s="415"/>
      <c r="J154" s="415"/>
      <c r="K154" s="416"/>
    </row>
    <row r="155" spans="1:11" ht="11.45" customHeight="1">
      <c r="A155" s="243"/>
      <c r="B155" s="349"/>
      <c r="C155" s="415"/>
      <c r="D155" s="415"/>
      <c r="E155" s="415"/>
      <c r="F155" s="415"/>
      <c r="G155" s="415"/>
      <c r="H155" s="415"/>
      <c r="I155" s="415"/>
      <c r="J155" s="415"/>
      <c r="K155" s="416"/>
    </row>
    <row r="156" spans="1:11" ht="11.45" customHeight="1">
      <c r="A156" s="243"/>
      <c r="B156" s="349"/>
      <c r="C156" s="415"/>
      <c r="D156" s="415"/>
      <c r="E156" s="415"/>
      <c r="F156" s="415"/>
      <c r="G156" s="415"/>
      <c r="H156" s="415"/>
      <c r="I156" s="415"/>
      <c r="J156" s="415"/>
      <c r="K156" s="416"/>
    </row>
    <row r="157" spans="1:11" ht="11.45" customHeight="1">
      <c r="A157" s="243"/>
      <c r="B157" s="349"/>
      <c r="C157" s="415"/>
      <c r="D157" s="415"/>
      <c r="E157" s="415"/>
      <c r="F157" s="415"/>
      <c r="G157" s="415"/>
      <c r="H157" s="415"/>
      <c r="I157" s="415"/>
      <c r="J157" s="415"/>
      <c r="K157" s="416"/>
    </row>
    <row r="158" spans="1:11" ht="11.45" customHeight="1">
      <c r="A158" s="243"/>
      <c r="B158" s="349"/>
      <c r="C158" s="415"/>
      <c r="D158" s="415"/>
      <c r="E158" s="415"/>
      <c r="F158" s="415"/>
      <c r="G158" s="415"/>
      <c r="H158" s="415"/>
      <c r="I158" s="415"/>
      <c r="J158" s="415"/>
      <c r="K158" s="416"/>
    </row>
    <row r="159" spans="1:11" ht="11.45" customHeight="1">
      <c r="A159" s="243"/>
      <c r="B159" s="349"/>
      <c r="C159" s="415"/>
      <c r="D159" s="415"/>
      <c r="E159" s="415"/>
      <c r="F159" s="415"/>
      <c r="G159" s="415"/>
      <c r="H159" s="415"/>
      <c r="I159" s="415"/>
      <c r="J159" s="415"/>
      <c r="K159" s="416"/>
    </row>
    <row r="160" spans="1:11" ht="11.45" customHeight="1">
      <c r="A160" s="243"/>
      <c r="B160" s="349"/>
      <c r="C160" s="415"/>
      <c r="D160" s="415"/>
      <c r="E160" s="415"/>
      <c r="F160" s="415"/>
      <c r="G160" s="415"/>
      <c r="H160" s="415"/>
      <c r="I160" s="415"/>
      <c r="J160" s="415"/>
      <c r="K160" s="416"/>
    </row>
    <row r="161" spans="1:11" ht="11.45" customHeight="1">
      <c r="A161" s="243"/>
      <c r="B161" s="349"/>
      <c r="C161" s="415"/>
      <c r="D161" s="415"/>
      <c r="E161" s="415"/>
      <c r="F161" s="415"/>
      <c r="G161" s="415"/>
      <c r="H161" s="415"/>
      <c r="I161" s="415"/>
      <c r="J161" s="415"/>
      <c r="K161" s="416"/>
    </row>
    <row r="162" spans="1:11" ht="11.45" customHeight="1">
      <c r="A162" s="243"/>
      <c r="B162" s="349"/>
      <c r="C162" s="415"/>
      <c r="D162" s="415"/>
      <c r="E162" s="415"/>
      <c r="F162" s="415"/>
      <c r="G162" s="415"/>
      <c r="H162" s="415"/>
      <c r="I162" s="415"/>
      <c r="J162" s="415"/>
      <c r="K162" s="416"/>
    </row>
    <row r="163" spans="1:11" ht="11.45" customHeight="1">
      <c r="A163" s="243"/>
      <c r="B163" s="349"/>
      <c r="C163" s="415"/>
      <c r="D163" s="415"/>
      <c r="E163" s="415"/>
      <c r="F163" s="415"/>
      <c r="G163" s="415"/>
      <c r="H163" s="415"/>
      <c r="I163" s="415"/>
      <c r="J163" s="415"/>
      <c r="K163" s="416"/>
    </row>
    <row r="164" spans="1:11" ht="11.45" customHeight="1">
      <c r="A164" s="243"/>
      <c r="B164" s="349"/>
      <c r="C164" s="415"/>
      <c r="D164" s="415"/>
      <c r="E164" s="415"/>
      <c r="F164" s="415"/>
      <c r="G164" s="415"/>
      <c r="H164" s="415"/>
      <c r="I164" s="415"/>
      <c r="J164" s="415"/>
      <c r="K164" s="416"/>
    </row>
    <row r="165" spans="1:11" ht="11.45" customHeight="1">
      <c r="A165" s="243"/>
      <c r="B165" s="349"/>
      <c r="C165" s="415"/>
      <c r="D165" s="415"/>
      <c r="E165" s="415"/>
      <c r="F165" s="415"/>
      <c r="G165" s="415"/>
      <c r="H165" s="415"/>
      <c r="I165" s="415"/>
      <c r="J165" s="415"/>
      <c r="K165" s="416"/>
    </row>
    <row r="166" spans="1:11" ht="11.45" customHeight="1">
      <c r="A166" s="243"/>
      <c r="B166" s="349"/>
      <c r="C166" s="415"/>
      <c r="D166" s="415"/>
      <c r="E166" s="415"/>
      <c r="F166" s="415"/>
      <c r="G166" s="415"/>
      <c r="H166" s="415"/>
      <c r="I166" s="415"/>
      <c r="J166" s="415"/>
      <c r="K166" s="416"/>
    </row>
    <row r="167" spans="1:11" ht="11.45" customHeight="1">
      <c r="A167" s="243"/>
      <c r="B167" s="349"/>
      <c r="C167" s="415"/>
      <c r="D167" s="415"/>
      <c r="E167" s="415"/>
      <c r="F167" s="415"/>
      <c r="G167" s="415"/>
      <c r="H167" s="415"/>
      <c r="I167" s="415"/>
      <c r="J167" s="415"/>
      <c r="K167" s="416"/>
    </row>
    <row r="168" spans="1:11" ht="11.45" customHeight="1">
      <c r="A168" s="243"/>
      <c r="B168" s="349"/>
      <c r="C168" s="415"/>
      <c r="D168" s="415"/>
      <c r="E168" s="415"/>
      <c r="F168" s="415"/>
      <c r="G168" s="415"/>
      <c r="H168" s="415"/>
      <c r="I168" s="415"/>
      <c r="J168" s="415"/>
      <c r="K168" s="416"/>
    </row>
    <row r="169" spans="1:11" ht="11.45" customHeight="1">
      <c r="A169" s="243"/>
      <c r="B169" s="349"/>
      <c r="C169" s="415"/>
      <c r="D169" s="415"/>
      <c r="E169" s="415"/>
      <c r="F169" s="415"/>
      <c r="G169" s="415"/>
      <c r="H169" s="415"/>
      <c r="I169" s="415"/>
      <c r="J169" s="415"/>
      <c r="K169" s="416"/>
    </row>
    <row r="170" spans="1:11" ht="11.45" customHeight="1">
      <c r="A170" s="243"/>
      <c r="B170" s="349"/>
      <c r="C170" s="415"/>
      <c r="D170" s="415"/>
      <c r="E170" s="415"/>
      <c r="F170" s="415"/>
      <c r="G170" s="415"/>
      <c r="H170" s="415"/>
      <c r="I170" s="415"/>
      <c r="J170" s="415"/>
      <c r="K170" s="416"/>
    </row>
    <row r="171" spans="1:11" ht="11.45" customHeight="1">
      <c r="A171" s="243"/>
      <c r="B171" s="349"/>
      <c r="C171" s="415"/>
      <c r="D171" s="415"/>
      <c r="E171" s="415"/>
      <c r="F171" s="415"/>
      <c r="G171" s="415"/>
      <c r="H171" s="415"/>
      <c r="I171" s="415"/>
      <c r="J171" s="415"/>
      <c r="K171" s="416"/>
    </row>
    <row r="172" spans="1:11" ht="11.45" customHeight="1">
      <c r="A172" s="243"/>
      <c r="B172" s="349"/>
      <c r="C172" s="415"/>
      <c r="D172" s="415"/>
      <c r="E172" s="415"/>
      <c r="F172" s="415"/>
      <c r="G172" s="415"/>
      <c r="H172" s="415"/>
      <c r="I172" s="415"/>
      <c r="J172" s="415"/>
      <c r="K172" s="416"/>
    </row>
    <row r="173" spans="1:11" ht="11.45" customHeight="1">
      <c r="A173" s="243"/>
      <c r="B173" s="349"/>
      <c r="C173" s="415"/>
      <c r="D173" s="415"/>
      <c r="E173" s="415"/>
      <c r="F173" s="415"/>
      <c r="G173" s="415"/>
      <c r="H173" s="415"/>
      <c r="I173" s="415"/>
      <c r="J173" s="415"/>
      <c r="K173" s="416"/>
    </row>
    <row r="174" spans="1:11" ht="11.45" customHeight="1">
      <c r="A174" s="243"/>
      <c r="B174" s="349"/>
      <c r="C174" s="415"/>
      <c r="D174" s="415"/>
      <c r="E174" s="415"/>
      <c r="F174" s="415"/>
      <c r="G174" s="415"/>
      <c r="H174" s="415"/>
      <c r="I174" s="415"/>
      <c r="J174" s="415"/>
      <c r="K174" s="416"/>
    </row>
    <row r="175" spans="1:11" ht="11.45" customHeight="1">
      <c r="A175" s="243"/>
      <c r="B175" s="349"/>
      <c r="C175" s="415"/>
      <c r="D175" s="415"/>
      <c r="E175" s="415"/>
      <c r="F175" s="415"/>
      <c r="G175" s="415"/>
      <c r="H175" s="415"/>
      <c r="I175" s="415"/>
      <c r="J175" s="415"/>
      <c r="K175" s="416"/>
    </row>
    <row r="176" spans="1:11" ht="11.45" customHeight="1">
      <c r="A176" s="243"/>
      <c r="B176" s="349"/>
      <c r="C176" s="415"/>
      <c r="D176" s="415"/>
      <c r="E176" s="415"/>
      <c r="F176" s="415"/>
      <c r="G176" s="415"/>
      <c r="H176" s="415"/>
      <c r="I176" s="415"/>
      <c r="J176" s="415"/>
      <c r="K176" s="416"/>
    </row>
    <row r="177" spans="1:11" ht="11.45" customHeight="1">
      <c r="A177" s="243"/>
      <c r="B177" s="349"/>
      <c r="C177" s="415"/>
      <c r="D177" s="415"/>
      <c r="E177" s="415"/>
      <c r="F177" s="415"/>
      <c r="G177" s="415"/>
      <c r="H177" s="415"/>
      <c r="I177" s="415"/>
      <c r="J177" s="415"/>
      <c r="K177" s="416"/>
    </row>
    <row r="178" spans="1:11" ht="11.45" customHeight="1">
      <c r="A178" s="243"/>
      <c r="B178" s="349"/>
      <c r="C178" s="415"/>
      <c r="D178" s="415"/>
      <c r="E178" s="415"/>
      <c r="F178" s="415"/>
      <c r="G178" s="415"/>
      <c r="H178" s="415"/>
      <c r="I178" s="415"/>
      <c r="J178" s="415"/>
      <c r="K178" s="416"/>
    </row>
    <row r="179" spans="1:11" ht="11.45" customHeight="1">
      <c r="A179" s="243"/>
      <c r="B179" s="349"/>
      <c r="C179" s="415"/>
      <c r="D179" s="415"/>
      <c r="E179" s="415"/>
      <c r="F179" s="415"/>
      <c r="G179" s="415"/>
      <c r="H179" s="415"/>
      <c r="I179" s="415"/>
      <c r="J179" s="415"/>
      <c r="K179" s="416"/>
    </row>
    <row r="180" spans="1:11" ht="11.45" customHeight="1">
      <c r="A180" s="243"/>
      <c r="B180" s="348"/>
      <c r="C180" s="417"/>
      <c r="D180" s="417"/>
      <c r="E180" s="417"/>
      <c r="F180" s="417"/>
      <c r="G180" s="417"/>
      <c r="H180" s="417"/>
      <c r="I180" s="417"/>
      <c r="J180" s="417"/>
      <c r="K180" s="418"/>
    </row>
    <row r="182" spans="1:11" ht="23.25">
      <c r="C182" s="19" t="s">
        <v>4</v>
      </c>
      <c r="D182" s="21" t="str">
        <f>START!$D$6</f>
        <v>[selecteer]</v>
      </c>
    </row>
    <row r="183" spans="1:11" ht="23.25">
      <c r="C183" s="19" t="s">
        <v>412</v>
      </c>
      <c r="D183" s="20" t="str">
        <f>START!$D$8</f>
        <v>[selecteer]</v>
      </c>
    </row>
    <row r="184" spans="1:11" ht="23.25">
      <c r="C184" s="19" t="s">
        <v>408</v>
      </c>
      <c r="D184" s="20" t="str">
        <f>IF(ISERROR(START!V1),IF(START!$W$1=0,"Vul in op tabblad START",START!D14),START!D10)</f>
        <v>Vul in op tabblad START</v>
      </c>
    </row>
    <row r="186" spans="1:11" ht="23.25">
      <c r="C186" s="411" t="s">
        <v>527</v>
      </c>
      <c r="D186" s="412"/>
    </row>
    <row r="187" spans="1:11" ht="23.25">
      <c r="C187" s="19" t="s">
        <v>393</v>
      </c>
      <c r="D187" s="23" t="e">
        <f>-G22</f>
        <v>#VALUE!</v>
      </c>
    </row>
    <row r="188" spans="1:11" ht="23.25">
      <c r="C188" s="19" t="s">
        <v>394</v>
      </c>
      <c r="D188" s="24">
        <f>H22</f>
        <v>0</v>
      </c>
    </row>
    <row r="189" spans="1:11" ht="23.25">
      <c r="C189" s="19" t="str">
        <f>IFERROR(IF(D189="-","Financieel tekort",IF(D189&gt;0,"Rendement","Financieel tekort")),"Financieel tekort")</f>
        <v>Financieel tekort</v>
      </c>
      <c r="D189" s="244" t="str">
        <f>IFERROR(D187+D188,"-")</f>
        <v>-</v>
      </c>
    </row>
    <row r="190" spans="1:11" ht="23.25">
      <c r="C190" s="19" t="s">
        <v>521</v>
      </c>
      <c r="D190" s="201">
        <f>I22</f>
        <v>0</v>
      </c>
    </row>
    <row r="191" spans="1:11" ht="23.25">
      <c r="C191" s="19" t="s">
        <v>522</v>
      </c>
      <c r="D191" s="201">
        <f>J22</f>
        <v>0</v>
      </c>
    </row>
    <row r="192" spans="1:11" ht="23.25">
      <c r="C192" s="19" t="s">
        <v>573</v>
      </c>
      <c r="D192" s="203" t="str">
        <f>IF(D189&gt;=0,"geen financieel tekort",D189+D190+D191)</f>
        <v>geen financieel tekort</v>
      </c>
      <c r="E192" s="1" t="str">
        <f>IF(D192="geen financieel tekort"," ",(IF(D192&gt;0,"LET OP: GEEN FINANCIEEL TEKORT"," ")))</f>
        <v xml:space="preserve"> </v>
      </c>
    </row>
    <row r="195" spans="3:5" ht="23.25">
      <c r="C195" s="411" t="s">
        <v>375</v>
      </c>
      <c r="D195" s="412"/>
    </row>
    <row r="196" spans="3:5" ht="23.25">
      <c r="C196" s="19" t="s">
        <v>393</v>
      </c>
      <c r="D196" s="23" t="e">
        <f>-G23</f>
        <v>#VALUE!</v>
      </c>
    </row>
    <row r="197" spans="3:5" ht="23.25">
      <c r="C197" s="19" t="s">
        <v>394</v>
      </c>
      <c r="D197" s="24">
        <f>H23</f>
        <v>0</v>
      </c>
    </row>
    <row r="198" spans="3:5" ht="23.25">
      <c r="C198" s="19" t="str">
        <f>IFERROR(IF(D198="-","Financieel tekort",IF(D198&gt;0,"Rendement","Financieel tekort")),"Financieel tekort")</f>
        <v>Financieel tekort</v>
      </c>
      <c r="D198" s="244" t="str">
        <f>IFERROR(D196+D197,"-")</f>
        <v>-</v>
      </c>
    </row>
    <row r="199" spans="3:5" ht="23.25">
      <c r="C199" s="19" t="s">
        <v>521</v>
      </c>
      <c r="D199" s="201">
        <f>I23</f>
        <v>0</v>
      </c>
    </row>
    <row r="200" spans="3:5" ht="23.25">
      <c r="C200" s="19" t="s">
        <v>522</v>
      </c>
      <c r="D200" s="201">
        <f>J23</f>
        <v>0</v>
      </c>
    </row>
    <row r="201" spans="3:5" ht="23.25">
      <c r="C201" s="19" t="s">
        <v>573</v>
      </c>
      <c r="D201" s="203" t="str">
        <f>IF(D198&gt;=0,"geen financieel tekort",D198+D199+D200)</f>
        <v>geen financieel tekort</v>
      </c>
      <c r="E201" s="1" t="str">
        <f>IF(D201="geen financieel tekort"," ",(IF(D201&gt;0,"LET OP: GEEN FINANCIEEL TEKORT"," ")))</f>
        <v xml:space="preserve"> </v>
      </c>
    </row>
    <row r="204" spans="3:5" ht="23.25">
      <c r="C204" s="411" t="s">
        <v>378</v>
      </c>
      <c r="D204" s="412"/>
    </row>
    <row r="205" spans="3:5" ht="23.25">
      <c r="C205" s="19" t="s">
        <v>393</v>
      </c>
      <c r="D205" s="23" t="e">
        <f>-G24</f>
        <v>#VALUE!</v>
      </c>
    </row>
    <row r="206" spans="3:5" ht="23.25">
      <c r="C206" s="19" t="s">
        <v>394</v>
      </c>
      <c r="D206" s="24">
        <f>H24</f>
        <v>0</v>
      </c>
    </row>
    <row r="207" spans="3:5" ht="23.25">
      <c r="C207" s="19" t="str">
        <f>IFERROR(IF(D207="-","Financieel tekort",IF(D207&gt;0,"Rendement","Financieel tekort")),"Financieel tekort")</f>
        <v>Financieel tekort</v>
      </c>
      <c r="D207" s="244" t="str">
        <f>IFERROR(D205+D206,"-")</f>
        <v>-</v>
      </c>
    </row>
    <row r="208" spans="3:5" ht="23.25">
      <c r="C208" s="19" t="s">
        <v>521</v>
      </c>
      <c r="D208" s="201">
        <f>I24</f>
        <v>0</v>
      </c>
    </row>
    <row r="209" spans="3:5" ht="23.25">
      <c r="C209" s="19" t="s">
        <v>522</v>
      </c>
      <c r="D209" s="201">
        <f>J24</f>
        <v>0</v>
      </c>
    </row>
    <row r="210" spans="3:5" ht="23.25">
      <c r="C210" s="19" t="s">
        <v>573</v>
      </c>
      <c r="D210" s="203" t="str">
        <f>IF(D207&gt;=0,"geen financieel tekort",D207+D208+D209)</f>
        <v>geen financieel tekort</v>
      </c>
      <c r="E210" s="1" t="str">
        <f>IF(D210="geen financieel tekort"," ",(IF(D210&gt;0,"LET OP: GEEN FINANCIEEL TEKORT"," ")))</f>
        <v xml:space="preserve"> </v>
      </c>
    </row>
    <row r="213" spans="3:5" ht="23.25">
      <c r="C213" s="411" t="s">
        <v>377</v>
      </c>
      <c r="D213" s="412"/>
    </row>
    <row r="214" spans="3:5" ht="23.25">
      <c r="C214" s="19" t="s">
        <v>393</v>
      </c>
      <c r="D214" s="23" t="e">
        <f>-G25</f>
        <v>#VALUE!</v>
      </c>
    </row>
    <row r="215" spans="3:5" ht="23.25">
      <c r="C215" s="19" t="s">
        <v>394</v>
      </c>
      <c r="D215" s="24">
        <f>H25</f>
        <v>0</v>
      </c>
    </row>
    <row r="216" spans="3:5" ht="23.25">
      <c r="C216" s="19" t="str">
        <f>IFERROR(IF(D216="-","Financieel tekort",IF(D216&gt;0,"Rendement","Financieel tekort")),"Financieel tekort")</f>
        <v>Financieel tekort</v>
      </c>
      <c r="D216" s="244" t="str">
        <f>IFERROR(D214+D215,"-")</f>
        <v>-</v>
      </c>
    </row>
    <row r="217" spans="3:5" ht="23.25">
      <c r="C217" s="19" t="s">
        <v>521</v>
      </c>
      <c r="D217" s="201">
        <f>I25</f>
        <v>0</v>
      </c>
    </row>
    <row r="218" spans="3:5" ht="23.25">
      <c r="C218" s="19" t="s">
        <v>522</v>
      </c>
      <c r="D218" s="201">
        <f>J25</f>
        <v>0</v>
      </c>
    </row>
    <row r="219" spans="3:5" ht="23.25">
      <c r="C219" s="19" t="s">
        <v>573</v>
      </c>
      <c r="D219" s="203" t="str">
        <f>IF(D216&gt;=0,"geen financieel tekort",D216+D217+D218)</f>
        <v>geen financieel tekort</v>
      </c>
      <c r="E219" s="1" t="str">
        <f>IF(D219="geen financieel tekort"," ",(IF(D219&gt;0,"LET OP: GEEN FINANCIEEL TEKORT"," ")))</f>
        <v xml:space="preserve"> </v>
      </c>
    </row>
    <row r="222" spans="3:5" ht="23.25">
      <c r="C222" s="411" t="s">
        <v>373</v>
      </c>
      <c r="D222" s="412"/>
    </row>
    <row r="223" spans="3:5" ht="23.25">
      <c r="C223" s="19" t="s">
        <v>393</v>
      </c>
      <c r="D223" s="23" t="e">
        <f>-G26</f>
        <v>#VALUE!</v>
      </c>
    </row>
    <row r="224" spans="3:5" ht="23.25">
      <c r="C224" s="19" t="s">
        <v>394</v>
      </c>
      <c r="D224" s="24">
        <f>H26</f>
        <v>0</v>
      </c>
    </row>
    <row r="225" spans="3:5" ht="23.25">
      <c r="C225" s="19" t="str">
        <f>IFERROR(IF(D225="-","Financieel tekort",IF(D225&gt;0,"Rendement","Financieel tekort")),"Financieel tekort")</f>
        <v>Financieel tekort</v>
      </c>
      <c r="D225" s="244" t="str">
        <f>IFERROR(D223+D224,"-")</f>
        <v>-</v>
      </c>
    </row>
    <row r="226" spans="3:5" ht="23.25">
      <c r="C226" s="19" t="s">
        <v>521</v>
      </c>
      <c r="D226" s="201">
        <f>I26</f>
        <v>0</v>
      </c>
    </row>
    <row r="227" spans="3:5" ht="23.25">
      <c r="C227" s="19" t="s">
        <v>522</v>
      </c>
      <c r="D227" s="201">
        <f>J26</f>
        <v>0</v>
      </c>
    </row>
    <row r="228" spans="3:5" ht="23.25">
      <c r="C228" s="19" t="s">
        <v>573</v>
      </c>
      <c r="D228" s="203" t="str">
        <f>IF(D225&gt;=0,"geen financieel tekort",D225+D226+D227)</f>
        <v>geen financieel tekort</v>
      </c>
      <c r="E228" s="1" t="str">
        <f>IF(D228="geen financieel tekort"," ",(IF(D228&gt;0,"LET OP: GEEN FINANCIEEL TEKORT"," ")))</f>
        <v xml:space="preserve"> </v>
      </c>
    </row>
    <row r="231" spans="3:5" ht="23.25">
      <c r="C231" s="411" t="s">
        <v>371</v>
      </c>
      <c r="D231" s="412"/>
    </row>
    <row r="232" spans="3:5" ht="23.25">
      <c r="C232" s="19" t="s">
        <v>393</v>
      </c>
      <c r="D232" s="23">
        <f>-D31</f>
        <v>0</v>
      </c>
    </row>
    <row r="233" spans="3:5" ht="23.25">
      <c r="C233" s="19" t="s">
        <v>394</v>
      </c>
      <c r="D233" s="24">
        <f>D32</f>
        <v>0</v>
      </c>
    </row>
    <row r="234" spans="3:5" ht="23.25">
      <c r="C234" s="19" t="str">
        <f>IFERROR(IF(D234="-","Financieel tekort",IF(D234&gt;0,"Rendement","Financieel tekort")),"Financieel tekort")</f>
        <v>Financieel tekort</v>
      </c>
      <c r="D234" s="23">
        <f>IFERROR(D232+D233,"-")</f>
        <v>0</v>
      </c>
    </row>
    <row r="235" spans="3:5" ht="23.25">
      <c r="C235" s="19" t="s">
        <v>521</v>
      </c>
      <c r="D235" s="201">
        <f>D37</f>
        <v>0</v>
      </c>
    </row>
    <row r="236" spans="3:5" ht="23.25">
      <c r="C236" s="19" t="s">
        <v>522</v>
      </c>
      <c r="D236" s="201">
        <f>D38</f>
        <v>0</v>
      </c>
    </row>
    <row r="237" spans="3:5" ht="23.25">
      <c r="C237" s="19" t="s">
        <v>573</v>
      </c>
      <c r="D237" s="203" t="str">
        <f>IF(D234&gt;=0,"geen financieel tekort",D234+D235+D236)</f>
        <v>geen financieel tekort</v>
      </c>
      <c r="E237" s="1" t="str">
        <f>IF(D237="geen financieel tekort"," ",(IF(D237&gt;0,"LET OP: GEEN FINANCIEEL TEKORT"," ")))</f>
        <v xml:space="preserve"> </v>
      </c>
    </row>
    <row r="240" spans="3:5" ht="23.25">
      <c r="C240" s="411" t="s">
        <v>372</v>
      </c>
      <c r="D240" s="412"/>
    </row>
    <row r="241" spans="3:5" ht="23.25">
      <c r="C241" s="19" t="s">
        <v>393</v>
      </c>
      <c r="D241" s="23">
        <f>-O31</f>
        <v>0</v>
      </c>
    </row>
    <row r="242" spans="3:5" ht="23.25">
      <c r="C242" s="19" t="s">
        <v>394</v>
      </c>
      <c r="D242" s="24">
        <f>O32</f>
        <v>0</v>
      </c>
    </row>
    <row r="243" spans="3:5" ht="23.25">
      <c r="C243" s="19" t="str">
        <f>IFERROR(IF(D243="-","Financieel tekort",IF(D243&gt;0,"Rendement","Financieel tekort")),"Financieel tekort")</f>
        <v>Financieel tekort</v>
      </c>
      <c r="D243" s="23">
        <f>IFERROR(D241+D242,"-")</f>
        <v>0</v>
      </c>
    </row>
    <row r="244" spans="3:5" ht="23.25">
      <c r="C244" s="19" t="s">
        <v>521</v>
      </c>
      <c r="D244" s="201">
        <f>O37</f>
        <v>0</v>
      </c>
    </row>
    <row r="245" spans="3:5" ht="23.25">
      <c r="C245" s="19" t="s">
        <v>522</v>
      </c>
      <c r="D245" s="201">
        <f>O38</f>
        <v>0</v>
      </c>
    </row>
    <row r="246" spans="3:5" ht="23.25">
      <c r="C246" s="19" t="s">
        <v>573</v>
      </c>
      <c r="D246" s="203" t="str">
        <f>IF(D243&gt;=0,"geen financieel tekort",D243+D244+D245)</f>
        <v>geen financieel tekort</v>
      </c>
      <c r="E246" s="1" t="str">
        <f>IF(D246="geen financieel tekort"," ",(IF(D246&gt;0,"LET OP: GEEN FINANCIEEL TEKORT"," ")))</f>
        <v xml:space="preserve"> </v>
      </c>
    </row>
    <row r="249" spans="3:5" ht="23.25">
      <c r="C249" s="411" t="s">
        <v>345</v>
      </c>
      <c r="D249" s="412"/>
    </row>
    <row r="250" spans="3:5" ht="23.25">
      <c r="C250" s="19" t="s">
        <v>393</v>
      </c>
      <c r="D250" s="23">
        <f>-D107</f>
        <v>0</v>
      </c>
    </row>
    <row r="251" spans="3:5" ht="23.25">
      <c r="C251" s="19" t="s">
        <v>394</v>
      </c>
      <c r="D251" s="24">
        <f>D108</f>
        <v>0</v>
      </c>
    </row>
    <row r="252" spans="3:5" ht="23.25">
      <c r="C252" s="19" t="str">
        <f>IFERROR(IF(D252="-","Financieel tekort",IF(D252&gt;0,"Rendement","Financieel tekort")),"Financieel tekort")</f>
        <v>Financieel tekort</v>
      </c>
      <c r="D252" s="23">
        <f>IFERROR(D250+D251,"-")</f>
        <v>0</v>
      </c>
    </row>
    <row r="253" spans="3:5" ht="23.25">
      <c r="C253" s="19" t="s">
        <v>521</v>
      </c>
      <c r="D253" s="201">
        <f>D113</f>
        <v>0</v>
      </c>
    </row>
    <row r="254" spans="3:5" ht="23.25">
      <c r="C254" s="19" t="s">
        <v>522</v>
      </c>
      <c r="D254" s="201">
        <f>D114</f>
        <v>0</v>
      </c>
    </row>
    <row r="255" spans="3:5" ht="23.25">
      <c r="C255" s="19" t="s">
        <v>573</v>
      </c>
      <c r="D255" s="203" t="str">
        <f>IF(D252&gt;=0,"geen financieel tekort",D252+D253+D254)</f>
        <v>geen financieel tekort</v>
      </c>
      <c r="E255" s="1" t="str">
        <f>IF(D255="geen financieel tekort"," ",(IF(D255&gt;0,"LET OP: GEEN FINANCIEEL TEKORT"," ")))</f>
        <v xml:space="preserve"> </v>
      </c>
    </row>
  </sheetData>
  <sheetProtection algorithmName="SHA-512" hashValue="nHsuA+qSLIA2tJcS8kXnNTFD+z13jthU2cYzm+Vtlsy4ZpFtYEudM+H9S6NwjDCuzCeau9im7BdbPwI7Q+GTfw==" saltValue="EAUzcz2dyq82V5BstywPcw==" spinCount="100000" sheet="1" objects="1" scenarios="1"/>
  <protectedRanges>
    <protectedRange sqref="E22:E26 H22:J26 D31:D32 D37:D38 O31:O32 N44:V104 C120:K180 D107:D108 D113:D114 C44:K104 O37:O38 D8:D15" name="invullen woningverbeteren"/>
  </protectedRanges>
  <mergeCells count="22">
    <mergeCell ref="B18:B28"/>
    <mergeCell ref="C30:D30"/>
    <mergeCell ref="B7:B15"/>
    <mergeCell ref="N30:O30"/>
    <mergeCell ref="N43:V43"/>
    <mergeCell ref="N44:V104"/>
    <mergeCell ref="C106:D106"/>
    <mergeCell ref="C119:K119"/>
    <mergeCell ref="C43:K43"/>
    <mergeCell ref="C44:K104"/>
    <mergeCell ref="C186:D186"/>
    <mergeCell ref="C195:D195"/>
    <mergeCell ref="C204:D204"/>
    <mergeCell ref="B106:B180"/>
    <mergeCell ref="M30:M104"/>
    <mergeCell ref="C120:K180"/>
    <mergeCell ref="B30:B104"/>
    <mergeCell ref="C249:D249"/>
    <mergeCell ref="C213:D213"/>
    <mergeCell ref="C222:D222"/>
    <mergeCell ref="C231:D231"/>
    <mergeCell ref="C240:D240"/>
  </mergeCells>
  <conditionalFormatting sqref="B30:K30 B31:D32 F31:K32 B33:K104">
    <cfRule type="expression" dxfId="135" priority="89">
      <formula>NOT($D$13="Ja")</formula>
    </cfRule>
  </conditionalFormatting>
  <conditionalFormatting sqref="B106:K108">
    <cfRule type="expression" dxfId="134" priority="6">
      <formula>NOT($D$15="Ja")</formula>
    </cfRule>
  </conditionalFormatting>
  <conditionalFormatting sqref="B109:K180">
    <cfRule type="expression" dxfId="133" priority="71">
      <formula>NOT($D$15="Ja")</formula>
    </cfRule>
  </conditionalFormatting>
  <conditionalFormatting sqref="C18">
    <cfRule type="expression" dxfId="132" priority="15">
      <formula>AND(NOT($D$8="Ja"),NOT($D$9="Ja"),NOT($D$10="Ja"),NOT($D$11="Ja"),NOT($D$12="Ja"))</formula>
    </cfRule>
  </conditionalFormatting>
  <conditionalFormatting sqref="C44">
    <cfRule type="notContainsBlanks" dxfId="131" priority="90">
      <formula>LEN(TRIM(C44))&gt;0</formula>
    </cfRule>
  </conditionalFormatting>
  <conditionalFormatting sqref="C120">
    <cfRule type="notContainsBlanks" dxfId="130" priority="70">
      <formula>LEN(TRIM(C120))&gt;0</formula>
    </cfRule>
  </conditionalFormatting>
  <conditionalFormatting sqref="D4">
    <cfRule type="expression" dxfId="129" priority="5856">
      <formula>$C$11=""</formula>
    </cfRule>
  </conditionalFormatting>
  <conditionalFormatting sqref="D8:D15">
    <cfRule type="containsText" dxfId="128" priority="128" operator="containsText" text="ja">
      <formula>NOT(ISERROR(SEARCH("ja",D8)))</formula>
    </cfRule>
    <cfRule type="containsText" dxfId="127" priority="126" operator="containsText" text="nee">
      <formula>NOT(ISERROR(SEARCH("nee",D8)))</formula>
    </cfRule>
  </conditionalFormatting>
  <conditionalFormatting sqref="D31">
    <cfRule type="notContainsBlanks" dxfId="126" priority="98">
      <formula>LEN(TRIM(D31))&gt;0</formula>
    </cfRule>
  </conditionalFormatting>
  <conditionalFormatting sqref="D31:D32 D37:D38 D35">
    <cfRule type="containsBlanks" dxfId="125" priority="114">
      <formula>LEN(TRIM(D31))=0</formula>
    </cfRule>
  </conditionalFormatting>
  <conditionalFormatting sqref="D32 D37:D38">
    <cfRule type="notContainsBlanks" dxfId="124" priority="112">
      <formula>LEN(TRIM(D32))&gt;0</formula>
    </cfRule>
  </conditionalFormatting>
  <conditionalFormatting sqref="D35">
    <cfRule type="notContainsBlanks" dxfId="123" priority="97">
      <formula>LEN(TRIM(D35))&gt;0</formula>
    </cfRule>
  </conditionalFormatting>
  <conditionalFormatting sqref="D107">
    <cfRule type="notContainsBlanks" dxfId="122" priority="74">
      <formula>LEN(TRIM(D107))&gt;0</formula>
    </cfRule>
  </conditionalFormatting>
  <conditionalFormatting sqref="D107:D108 D113:D114 D111">
    <cfRule type="containsBlanks" dxfId="121" priority="6016">
      <formula>LEN(TRIM(D107))=0</formula>
    </cfRule>
  </conditionalFormatting>
  <conditionalFormatting sqref="D111">
    <cfRule type="notContainsBlanks" dxfId="120" priority="72">
      <formula>LEN(TRIM(D111))&gt;0</formula>
    </cfRule>
  </conditionalFormatting>
  <conditionalFormatting sqref="D113:D114 D108">
    <cfRule type="notContainsBlanks" dxfId="119" priority="73">
      <formula>LEN(TRIM(D108))&gt;0</formula>
    </cfRule>
  </conditionalFormatting>
  <conditionalFormatting sqref="D183:D184">
    <cfRule type="containsText" dxfId="118" priority="59" operator="containsText" text="!!!">
      <formula>NOT(ISERROR(SEARCH("!!!",D183)))</formula>
    </cfRule>
  </conditionalFormatting>
  <conditionalFormatting sqref="D190:D191">
    <cfRule type="cellIs" dxfId="117" priority="52" operator="greaterThan">
      <formula>0</formula>
    </cfRule>
  </conditionalFormatting>
  <conditionalFormatting sqref="D199:D200">
    <cfRule type="cellIs" dxfId="116" priority="40" operator="greaterThan">
      <formula>0</formula>
    </cfRule>
  </conditionalFormatting>
  <conditionalFormatting sqref="D208:D209">
    <cfRule type="cellIs" dxfId="115" priority="37" operator="greaterThan">
      <formula>0</formula>
    </cfRule>
  </conditionalFormatting>
  <conditionalFormatting sqref="D217:D218">
    <cfRule type="cellIs" dxfId="114" priority="34" operator="greaterThan">
      <formula>0</formula>
    </cfRule>
  </conditionalFormatting>
  <conditionalFormatting sqref="D226:D227">
    <cfRule type="cellIs" dxfId="113" priority="31" operator="greaterThan">
      <formula>0</formula>
    </cfRule>
  </conditionalFormatting>
  <conditionalFormatting sqref="D235:D236">
    <cfRule type="cellIs" dxfId="112" priority="28" operator="greaterThan">
      <formula>0</formula>
    </cfRule>
  </conditionalFormatting>
  <conditionalFormatting sqref="D244:D245">
    <cfRule type="cellIs" dxfId="111" priority="25" operator="greaterThan">
      <formula>0</formula>
    </cfRule>
  </conditionalFormatting>
  <conditionalFormatting sqref="D253:D254">
    <cfRule type="cellIs" dxfId="110" priority="19" operator="greaterThan">
      <formula>0</formula>
    </cfRule>
  </conditionalFormatting>
  <conditionalFormatting sqref="D22:H26">
    <cfRule type="expression" dxfId="109" priority="67">
      <formula>NOT($D8="Ja")</formula>
    </cfRule>
  </conditionalFormatting>
  <conditionalFormatting sqref="D21:J21">
    <cfRule type="expression" dxfId="108" priority="63">
      <formula>AND(NOT($D$8="Ja"),NOT($D$9="Ja"),NOT($D$10="Ja"),NOT($D$11="Ja"),NOT($D$12="Ja"))</formula>
    </cfRule>
  </conditionalFormatting>
  <conditionalFormatting sqref="E32">
    <cfRule type="expression" dxfId="107" priority="8">
      <formula>NOT($D$13="Ja")</formula>
    </cfRule>
  </conditionalFormatting>
  <conditionalFormatting sqref="H22:J26">
    <cfRule type="notContainsBlanks" dxfId="106" priority="44">
      <formula>LEN(TRIM(H22))&gt;0</formula>
    </cfRule>
  </conditionalFormatting>
  <conditionalFormatting sqref="I22:J26">
    <cfRule type="expression" dxfId="105" priority="43">
      <formula>NOT($D8="Ja")</formula>
    </cfRule>
  </conditionalFormatting>
  <conditionalFormatting sqref="I27:N27">
    <cfRule type="expression" dxfId="104" priority="11">
      <formula>NOT($D$13="Ja")</formula>
    </cfRule>
  </conditionalFormatting>
  <conditionalFormatting sqref="K22">
    <cfRule type="expression" dxfId="103" priority="5">
      <formula>NOT($D$8="Ja")</formula>
    </cfRule>
  </conditionalFormatting>
  <conditionalFormatting sqref="K23">
    <cfRule type="expression" dxfId="102" priority="4">
      <formula>NOT($D$9="Ja")</formula>
    </cfRule>
  </conditionalFormatting>
  <conditionalFormatting sqref="K24">
    <cfRule type="expression" dxfId="101" priority="3">
      <formula>NOT($D$10="Ja")</formula>
    </cfRule>
  </conditionalFormatting>
  <conditionalFormatting sqref="K25">
    <cfRule type="expression" dxfId="100" priority="2">
      <formula>NOT($D$11="Ja")</formula>
    </cfRule>
  </conditionalFormatting>
  <conditionalFormatting sqref="K26">
    <cfRule type="expression" dxfId="99" priority="1">
      <formula>NOT($D$12="Ja")</formula>
    </cfRule>
  </conditionalFormatting>
  <conditionalFormatting sqref="M30:V104">
    <cfRule type="expression" dxfId="98" priority="7">
      <formula>NOT($D$14="Ja")</formula>
    </cfRule>
  </conditionalFormatting>
  <conditionalFormatting sqref="N44">
    <cfRule type="notContainsBlanks" dxfId="97" priority="84">
      <formula>LEN(TRIM(N44))&gt;0</formula>
    </cfRule>
  </conditionalFormatting>
  <conditionalFormatting sqref="O31">
    <cfRule type="notContainsBlanks" dxfId="96" priority="86">
      <formula>LEN(TRIM(O31))&gt;0</formula>
    </cfRule>
  </conditionalFormatting>
  <conditionalFormatting sqref="O31:O32 O37:O38 O35">
    <cfRule type="containsBlanks" dxfId="95" priority="88">
      <formula>LEN(TRIM(O31))=0</formula>
    </cfRule>
  </conditionalFormatting>
  <conditionalFormatting sqref="O32 O37:O38">
    <cfRule type="notContainsBlanks" dxfId="94" priority="87">
      <formula>LEN(TRIM(O32))&gt;0</formula>
    </cfRule>
  </conditionalFormatting>
  <conditionalFormatting sqref="O35">
    <cfRule type="notContainsBlanks" dxfId="93" priority="85">
      <formula>LEN(TRIM(O35))&gt;0</formula>
    </cfRule>
  </conditionalFormatting>
  <dataValidations count="1">
    <dataValidation type="list" allowBlank="1" showInputMessage="1" showErrorMessage="1" sqref="D8:D15" xr:uid="{D8777F50-E45A-47B6-956B-F3B11DFCC071}">
      <formula1>$AA$1:$AA$3</formula1>
    </dataValidation>
  </dataValidations>
  <pageMargins left="0.7" right="0.7" top="0.75" bottom="0.75" header="0.3" footer="0.3"/>
  <pageSetup paperSize="9" orientation="portrait" r:id="rId1"/>
  <headerFooter>
    <oddFooter>&amp;L_x000D_&amp;1#&amp;"Calibri"&amp;10&amp;K000000 Intern gebruik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C440C-CDD1-4DB3-9457-4937347D03A2}">
  <sheetPr codeName="Blad8">
    <tabColor theme="7" tint="0.79998168889431442"/>
  </sheetPr>
  <dimension ref="A1:AM92"/>
  <sheetViews>
    <sheetView zoomScale="50" zoomScaleNormal="50" workbookViewId="0">
      <selection activeCell="C13" sqref="C13:K80"/>
    </sheetView>
  </sheetViews>
  <sheetFormatPr defaultColWidth="8.85546875" defaultRowHeight="12"/>
  <cols>
    <col min="1" max="2" width="8.85546875" style="1"/>
    <col min="3" max="3" width="66.85546875" style="1" bestFit="1" customWidth="1"/>
    <col min="4" max="4" width="46.85546875" style="1" customWidth="1"/>
    <col min="5" max="5" width="46.42578125" style="1" bestFit="1" customWidth="1"/>
    <col min="6" max="6" width="33.42578125" style="1" customWidth="1"/>
    <col min="7" max="7" width="11.42578125" style="1" customWidth="1"/>
    <col min="8" max="8" width="33.42578125" style="1" customWidth="1"/>
    <col min="9" max="9" width="66.85546875" style="1" bestFit="1" customWidth="1"/>
    <col min="10" max="10" width="33.5703125" style="1" customWidth="1"/>
    <col min="11" max="11" width="28.85546875" style="1" bestFit="1" customWidth="1"/>
    <col min="12" max="12" width="27" style="1" bestFit="1" customWidth="1"/>
    <col min="13" max="13" width="17.7109375" style="1" customWidth="1"/>
    <col min="14" max="14" width="18.5703125" style="1" customWidth="1"/>
    <col min="15" max="15" width="19.42578125" style="1" customWidth="1"/>
    <col min="16" max="16" width="17" style="1" customWidth="1"/>
    <col min="17" max="17" width="17.5703125" style="1" customWidth="1"/>
    <col min="18" max="18" width="20.42578125" style="1" customWidth="1"/>
    <col min="19" max="19" width="4.7109375" style="1" customWidth="1"/>
    <col min="20" max="20" width="34.28515625" style="1" customWidth="1"/>
    <col min="21" max="21" width="19.7109375" style="1" customWidth="1"/>
    <col min="22" max="22" width="18.42578125" style="1" customWidth="1"/>
    <col min="23" max="23" width="17.28515625" style="1" customWidth="1"/>
    <col min="24" max="24" width="20" style="1" customWidth="1"/>
    <col min="25" max="25" width="18.85546875" style="1" customWidth="1"/>
    <col min="26" max="26" width="17.5703125" style="1" customWidth="1"/>
    <col min="27" max="27" width="17.42578125" style="1" customWidth="1"/>
    <col min="28" max="29" width="15" style="1" customWidth="1"/>
    <col min="30" max="30" width="15.42578125" style="1" customWidth="1"/>
    <col min="31" max="31" width="18.85546875" style="1" customWidth="1"/>
    <col min="32" max="32" width="14.5703125" style="1" customWidth="1"/>
    <col min="33" max="33" width="21.140625" style="1" customWidth="1"/>
    <col min="34" max="34" width="8.85546875" style="1"/>
    <col min="35" max="35" width="31" style="1" customWidth="1"/>
    <col min="36" max="36" width="23.140625" style="1" customWidth="1"/>
    <col min="37" max="37" width="17" style="1" customWidth="1"/>
    <col min="38" max="38" width="28.42578125" style="1" customWidth="1"/>
    <col min="39" max="39" width="17.5703125" style="1" customWidth="1"/>
    <col min="40" max="40" width="33.140625" style="1" customWidth="1"/>
    <col min="41" max="41" width="21" style="1" customWidth="1"/>
    <col min="42" max="42" width="20" style="1" customWidth="1"/>
    <col min="43" max="43" width="17.28515625" style="1" customWidth="1"/>
    <col min="44" max="44" width="15.7109375" style="1" customWidth="1"/>
    <col min="45" max="45" width="17.28515625" style="1" customWidth="1"/>
    <col min="46" max="46" width="14.28515625" style="1" customWidth="1"/>
    <col min="47" max="47" width="19.28515625" style="1" customWidth="1"/>
    <col min="48" max="48" width="18.7109375" style="1" customWidth="1"/>
    <col min="49" max="16384" width="8.85546875" style="1"/>
  </cols>
  <sheetData>
    <row r="1" spans="1:39" ht="18">
      <c r="A1" s="4" t="s">
        <v>431</v>
      </c>
      <c r="C1" s="6"/>
      <c r="D1" s="6"/>
      <c r="E1" s="6"/>
      <c r="F1" s="6"/>
      <c r="G1" s="6"/>
      <c r="H1" s="6"/>
      <c r="I1" s="6"/>
      <c r="J1" s="6"/>
      <c r="U1" s="8"/>
      <c r="V1" s="8"/>
      <c r="W1" s="8"/>
      <c r="X1" s="8"/>
      <c r="Y1" s="8"/>
      <c r="Z1" s="8"/>
      <c r="AA1" s="8"/>
      <c r="AB1" s="8"/>
      <c r="AC1" s="8"/>
      <c r="AD1" s="8"/>
      <c r="AE1" s="4"/>
      <c r="AF1" s="8"/>
      <c r="AG1" s="8"/>
      <c r="AH1" s="8"/>
      <c r="AI1" s="8"/>
      <c r="AJ1" s="8"/>
      <c r="AK1" s="8"/>
      <c r="AL1" s="8"/>
      <c r="AM1" s="8"/>
    </row>
    <row r="2" spans="1:39" ht="18"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9"/>
      <c r="V2" s="9"/>
      <c r="W2" s="9"/>
      <c r="X2" s="8"/>
      <c r="Y2" s="8"/>
      <c r="Z2" s="8"/>
      <c r="AA2" s="8"/>
      <c r="AB2" s="8"/>
      <c r="AC2" s="8"/>
      <c r="AD2" s="8"/>
      <c r="AE2" s="4"/>
      <c r="AF2" s="8"/>
      <c r="AG2" s="8"/>
      <c r="AH2" s="8"/>
      <c r="AI2" s="8"/>
      <c r="AJ2" s="8"/>
      <c r="AK2" s="8"/>
      <c r="AL2" s="8"/>
      <c r="AM2" s="8"/>
    </row>
    <row r="3" spans="1:39" ht="18">
      <c r="C3" s="5"/>
      <c r="D3" s="5"/>
      <c r="E3" s="5"/>
      <c r="F3" s="5"/>
      <c r="G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9"/>
      <c r="V3" s="9"/>
      <c r="W3" s="9"/>
      <c r="X3" s="8"/>
      <c r="Y3" s="8"/>
      <c r="Z3" s="8"/>
      <c r="AA3" s="8"/>
      <c r="AB3" s="8"/>
      <c r="AC3" s="8"/>
      <c r="AD3" s="8"/>
      <c r="AE3" s="4" t="s">
        <v>343</v>
      </c>
      <c r="AF3" s="8"/>
      <c r="AG3" s="8"/>
      <c r="AH3" s="8"/>
      <c r="AI3" s="8"/>
      <c r="AJ3" s="8"/>
      <c r="AK3" s="8"/>
      <c r="AL3" s="8"/>
      <c r="AM3" s="8"/>
    </row>
    <row r="4" spans="1:39" ht="23.25">
      <c r="C4" s="7"/>
      <c r="D4" s="39" t="s">
        <v>398</v>
      </c>
      <c r="E4" s="5"/>
      <c r="F4" s="5"/>
      <c r="G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9"/>
      <c r="V4" s="9"/>
      <c r="W4" s="9"/>
      <c r="X4" s="8"/>
      <c r="Y4" s="8"/>
      <c r="Z4" s="8"/>
      <c r="AA4" s="8"/>
      <c r="AB4" s="8"/>
      <c r="AC4" s="8"/>
      <c r="AD4" s="8"/>
      <c r="AE4" s="4"/>
      <c r="AF4" s="8"/>
      <c r="AG4" s="8"/>
      <c r="AH4" s="8"/>
      <c r="AI4" s="8"/>
      <c r="AJ4" s="8"/>
      <c r="AK4" s="8"/>
      <c r="AL4" s="8"/>
      <c r="AM4" s="8"/>
    </row>
    <row r="5" spans="1:39" ht="18">
      <c r="F5" s="5"/>
      <c r="G5" s="5"/>
      <c r="J5" s="5"/>
      <c r="K5" s="5"/>
      <c r="L5" s="5"/>
      <c r="M5" s="5"/>
      <c r="N5" s="5"/>
    </row>
    <row r="6" spans="1:39" ht="23.25">
      <c r="C6" s="7"/>
      <c r="D6" s="7"/>
      <c r="E6" s="7"/>
      <c r="F6" s="5"/>
      <c r="G6" s="5"/>
      <c r="J6" s="5"/>
      <c r="K6" s="5"/>
      <c r="L6" s="5"/>
      <c r="M6" s="5"/>
      <c r="N6" s="5"/>
    </row>
    <row r="7" spans="1:39" ht="23.25">
      <c r="C7" s="7"/>
      <c r="D7" s="7"/>
      <c r="E7" s="7"/>
      <c r="F7" s="5"/>
      <c r="G7" s="5"/>
      <c r="H7" s="5"/>
      <c r="I7" s="5"/>
      <c r="J7" s="5"/>
      <c r="K7" s="5"/>
      <c r="L7" s="5"/>
      <c r="M7" s="5"/>
      <c r="N7" s="5"/>
    </row>
    <row r="8" spans="1:39" ht="41.25" customHeight="1">
      <c r="B8" s="423">
        <v>1</v>
      </c>
      <c r="C8" s="208" t="s">
        <v>446</v>
      </c>
      <c r="D8" s="126"/>
      <c r="E8" s="7"/>
      <c r="F8" s="5"/>
      <c r="G8" s="5"/>
      <c r="H8" s="5"/>
      <c r="I8" s="5"/>
      <c r="J8" s="5"/>
      <c r="K8" s="5"/>
      <c r="L8" s="5"/>
      <c r="M8" s="5"/>
      <c r="N8" s="5"/>
    </row>
    <row r="9" spans="1:39" ht="41.25" customHeight="1">
      <c r="B9" s="424"/>
      <c r="C9" s="208" t="s">
        <v>447</v>
      </c>
      <c r="D9" s="126"/>
      <c r="E9" s="7"/>
      <c r="F9" s="5"/>
      <c r="G9" s="5"/>
      <c r="H9" s="5"/>
      <c r="I9" s="5"/>
      <c r="J9" s="5"/>
      <c r="K9" s="5"/>
      <c r="L9" s="5"/>
      <c r="M9" s="5"/>
      <c r="N9" s="5"/>
    </row>
    <row r="10" spans="1:39" ht="35.25" customHeight="1">
      <c r="B10" s="424"/>
      <c r="C10" s="209" t="s">
        <v>576</v>
      </c>
      <c r="D10" s="127">
        <f>-D8+D9</f>
        <v>0</v>
      </c>
      <c r="E10" s="7"/>
      <c r="F10" s="5"/>
      <c r="G10" s="5"/>
      <c r="H10" s="5"/>
      <c r="I10" s="5"/>
      <c r="J10" s="5"/>
      <c r="K10" s="5"/>
      <c r="L10" s="5"/>
      <c r="M10" s="5"/>
      <c r="N10" s="5"/>
    </row>
    <row r="11" spans="1:39" ht="35.25" customHeight="1">
      <c r="B11" s="424"/>
      <c r="C11" s="208" t="s">
        <v>530</v>
      </c>
      <c r="D11" s="126"/>
      <c r="E11" s="7"/>
      <c r="F11" s="5"/>
      <c r="G11" s="5"/>
      <c r="H11" s="5"/>
      <c r="I11" s="5"/>
      <c r="J11" s="5"/>
      <c r="K11" s="5"/>
      <c r="L11" s="5"/>
      <c r="M11" s="5"/>
      <c r="N11" s="5"/>
    </row>
    <row r="12" spans="1:39" ht="35.25" customHeight="1">
      <c r="B12" s="424"/>
      <c r="C12" s="208" t="s">
        <v>529</v>
      </c>
      <c r="D12" s="126"/>
      <c r="E12" s="7"/>
      <c r="F12" s="5"/>
      <c r="G12" s="5"/>
      <c r="H12" s="5"/>
      <c r="I12" s="5"/>
      <c r="J12" s="5"/>
      <c r="K12" s="5"/>
      <c r="L12" s="5"/>
      <c r="M12" s="5"/>
      <c r="N12" s="5"/>
    </row>
    <row r="13" spans="1:39" ht="35.25" customHeight="1">
      <c r="B13" s="425"/>
      <c r="C13" s="210" t="s">
        <v>573</v>
      </c>
      <c r="D13" s="203" t="str">
        <f>IF(D10&gt;=0,"geen financieel tekort",D10+D11+D12)</f>
        <v>geen financieel tekort</v>
      </c>
      <c r="E13" s="1" t="str">
        <f>IF(D13="geen financieel tekort"," ",(IF(D13&gt;0,"LET OP: GEEN FINANCIEEL TEKORT"," ")))</f>
        <v xml:space="preserve"> </v>
      </c>
      <c r="F13" s="5"/>
      <c r="G13" s="5"/>
      <c r="H13" s="5"/>
      <c r="I13" s="5"/>
      <c r="J13" s="5"/>
      <c r="K13" s="5"/>
      <c r="L13" s="5"/>
      <c r="M13" s="5"/>
      <c r="N13" s="5"/>
    </row>
    <row r="14" spans="1:39" ht="35.25" customHeight="1">
      <c r="E14" s="7"/>
      <c r="F14" s="5"/>
      <c r="G14" s="5"/>
      <c r="H14" s="5"/>
      <c r="I14" s="5"/>
      <c r="J14" s="5"/>
      <c r="K14" s="5"/>
      <c r="L14" s="5"/>
      <c r="M14" s="5"/>
      <c r="N14" s="5"/>
    </row>
    <row r="15" spans="1:39" ht="35.25" customHeight="1">
      <c r="E15" s="7"/>
      <c r="F15" s="5"/>
      <c r="G15" s="5"/>
      <c r="H15" s="5"/>
      <c r="I15" s="5"/>
      <c r="J15" s="5"/>
      <c r="K15" s="5"/>
      <c r="L15" s="5"/>
      <c r="M15" s="5"/>
      <c r="N15" s="5"/>
    </row>
    <row r="16" spans="1:39" ht="35.25" customHeight="1">
      <c r="E16" s="7"/>
      <c r="F16" s="5"/>
      <c r="G16" s="5"/>
      <c r="H16" s="5"/>
      <c r="I16" s="5"/>
      <c r="J16" s="5"/>
      <c r="K16" s="5"/>
      <c r="L16" s="5"/>
      <c r="M16" s="5"/>
      <c r="N16" s="5"/>
    </row>
    <row r="17" spans="1:14" ht="35.25" customHeight="1">
      <c r="E17" s="7"/>
      <c r="F17" s="5"/>
      <c r="G17" s="5"/>
      <c r="H17" s="5"/>
      <c r="I17" s="5"/>
      <c r="J17" s="5"/>
      <c r="K17" s="5"/>
      <c r="L17" s="5"/>
      <c r="M17" s="5"/>
      <c r="N17" s="5"/>
    </row>
    <row r="18" spans="1:14" ht="46.5" customHeight="1">
      <c r="A18" s="7"/>
      <c r="B18" s="7"/>
      <c r="C18" s="7"/>
      <c r="D18" s="7"/>
      <c r="E18" s="7"/>
      <c r="F18" s="5"/>
      <c r="G18" s="5"/>
      <c r="H18" s="5"/>
      <c r="I18" s="5"/>
      <c r="J18" s="5"/>
      <c r="K18" s="5"/>
      <c r="L18" s="5"/>
      <c r="M18" s="5"/>
      <c r="N18" s="5"/>
    </row>
    <row r="19" spans="1:14" ht="36" customHeight="1">
      <c r="A19" s="7"/>
      <c r="B19" s="423">
        <v>2</v>
      </c>
      <c r="C19" s="429" t="s">
        <v>448</v>
      </c>
      <c r="D19" s="421"/>
      <c r="E19" s="421"/>
      <c r="F19" s="421"/>
      <c r="G19" s="421"/>
      <c r="H19" s="421"/>
      <c r="I19" s="421"/>
      <c r="J19" s="421"/>
      <c r="K19" s="422"/>
      <c r="L19" s="5"/>
      <c r="M19" s="5"/>
      <c r="N19" s="5"/>
    </row>
    <row r="20" spans="1:14" ht="31.5" customHeight="1">
      <c r="A20" s="7"/>
      <c r="B20" s="424"/>
      <c r="C20" s="426" t="s">
        <v>620</v>
      </c>
      <c r="D20" s="413"/>
      <c r="E20" s="413"/>
      <c r="F20" s="413"/>
      <c r="G20" s="413"/>
      <c r="H20" s="413"/>
      <c r="I20" s="413"/>
      <c r="J20" s="413"/>
      <c r="K20" s="414"/>
      <c r="L20" s="5"/>
      <c r="M20" s="5"/>
      <c r="N20" s="5"/>
    </row>
    <row r="21" spans="1:14" ht="37.5" customHeight="1">
      <c r="A21" s="7"/>
      <c r="B21" s="424"/>
      <c r="C21" s="427"/>
      <c r="D21" s="415"/>
      <c r="E21" s="415"/>
      <c r="F21" s="415"/>
      <c r="G21" s="415"/>
      <c r="H21" s="415"/>
      <c r="I21" s="415"/>
      <c r="J21" s="415"/>
      <c r="K21" s="416"/>
      <c r="L21" s="5"/>
      <c r="M21" s="5"/>
      <c r="N21" s="5"/>
    </row>
    <row r="22" spans="1:14" ht="36" customHeight="1">
      <c r="A22" s="7"/>
      <c r="B22" s="424"/>
      <c r="C22" s="427"/>
      <c r="D22" s="415"/>
      <c r="E22" s="415"/>
      <c r="F22" s="415"/>
      <c r="G22" s="415"/>
      <c r="H22" s="415"/>
      <c r="I22" s="415"/>
      <c r="J22" s="415"/>
      <c r="K22" s="416"/>
      <c r="L22" s="5"/>
      <c r="M22" s="5"/>
      <c r="N22" s="5"/>
    </row>
    <row r="23" spans="1:14" ht="33.75" customHeight="1">
      <c r="A23" s="7"/>
      <c r="B23" s="424"/>
      <c r="C23" s="427"/>
      <c r="D23" s="415"/>
      <c r="E23" s="415"/>
      <c r="F23" s="415"/>
      <c r="G23" s="415"/>
      <c r="H23" s="415"/>
      <c r="I23" s="415"/>
      <c r="J23" s="415"/>
      <c r="K23" s="416"/>
      <c r="L23" s="5"/>
      <c r="M23" s="5"/>
      <c r="N23" s="5"/>
    </row>
    <row r="24" spans="1:14" ht="18" customHeight="1">
      <c r="A24" s="7"/>
      <c r="B24" s="424"/>
      <c r="C24" s="427"/>
      <c r="D24" s="415"/>
      <c r="E24" s="415"/>
      <c r="F24" s="415"/>
      <c r="G24" s="415"/>
      <c r="H24" s="415"/>
      <c r="I24" s="415"/>
      <c r="J24" s="415"/>
      <c r="K24" s="416"/>
      <c r="L24" s="5"/>
      <c r="M24" s="5"/>
      <c r="N24" s="5"/>
    </row>
    <row r="25" spans="1:14" ht="18" customHeight="1">
      <c r="A25" s="7"/>
      <c r="B25" s="424"/>
      <c r="C25" s="427"/>
      <c r="D25" s="415"/>
      <c r="E25" s="415"/>
      <c r="F25" s="415"/>
      <c r="G25" s="415"/>
      <c r="H25" s="415"/>
      <c r="I25" s="415"/>
      <c r="J25" s="415"/>
      <c r="K25" s="416"/>
      <c r="L25" s="5"/>
      <c r="M25" s="5"/>
      <c r="N25" s="5"/>
    </row>
    <row r="26" spans="1:14" ht="18" customHeight="1">
      <c r="A26" s="7"/>
      <c r="B26" s="424"/>
      <c r="C26" s="427"/>
      <c r="D26" s="415"/>
      <c r="E26" s="415"/>
      <c r="F26" s="415"/>
      <c r="G26" s="415"/>
      <c r="H26" s="415"/>
      <c r="I26" s="415"/>
      <c r="J26" s="415"/>
      <c r="K26" s="416"/>
      <c r="L26" s="5"/>
      <c r="M26" s="5"/>
      <c r="N26" s="5"/>
    </row>
    <row r="27" spans="1:14" ht="18" customHeight="1">
      <c r="A27" s="7"/>
      <c r="B27" s="424"/>
      <c r="C27" s="427"/>
      <c r="D27" s="415"/>
      <c r="E27" s="415"/>
      <c r="F27" s="415"/>
      <c r="G27" s="415"/>
      <c r="H27" s="415"/>
      <c r="I27" s="415"/>
      <c r="J27" s="415"/>
      <c r="K27" s="416"/>
      <c r="L27" s="5"/>
      <c r="M27" s="5"/>
      <c r="N27" s="5"/>
    </row>
    <row r="28" spans="1:14" ht="21" customHeight="1">
      <c r="A28" s="7"/>
      <c r="B28" s="424"/>
      <c r="C28" s="427"/>
      <c r="D28" s="415"/>
      <c r="E28" s="415"/>
      <c r="F28" s="415"/>
      <c r="G28" s="415"/>
      <c r="H28" s="415"/>
      <c r="I28" s="415"/>
      <c r="J28" s="415"/>
      <c r="K28" s="416"/>
      <c r="L28" s="5"/>
      <c r="M28" s="5"/>
      <c r="N28" s="5"/>
    </row>
    <row r="29" spans="1:14" ht="12" customHeight="1">
      <c r="A29" s="7"/>
      <c r="B29" s="424"/>
      <c r="C29" s="427"/>
      <c r="D29" s="415"/>
      <c r="E29" s="415"/>
      <c r="F29" s="415"/>
      <c r="G29" s="415"/>
      <c r="H29" s="415"/>
      <c r="I29" s="415"/>
      <c r="J29" s="415"/>
      <c r="K29" s="416"/>
    </row>
    <row r="30" spans="1:14" ht="12" customHeight="1">
      <c r="A30" s="7"/>
      <c r="B30" s="424"/>
      <c r="C30" s="427"/>
      <c r="D30" s="415"/>
      <c r="E30" s="415"/>
      <c r="F30" s="415"/>
      <c r="G30" s="415"/>
      <c r="H30" s="415"/>
      <c r="I30" s="415"/>
      <c r="J30" s="415"/>
      <c r="K30" s="416"/>
    </row>
    <row r="31" spans="1:14" ht="12" customHeight="1">
      <c r="A31" s="7"/>
      <c r="B31" s="424"/>
      <c r="C31" s="427"/>
      <c r="D31" s="415"/>
      <c r="E31" s="415"/>
      <c r="F31" s="415"/>
      <c r="G31" s="415"/>
      <c r="H31" s="415"/>
      <c r="I31" s="415"/>
      <c r="J31" s="415"/>
      <c r="K31" s="416"/>
    </row>
    <row r="32" spans="1:14" ht="12" customHeight="1">
      <c r="A32" s="7"/>
      <c r="B32" s="424"/>
      <c r="C32" s="427"/>
      <c r="D32" s="415"/>
      <c r="E32" s="415"/>
      <c r="F32" s="415"/>
      <c r="G32" s="415"/>
      <c r="H32" s="415"/>
      <c r="I32" s="415"/>
      <c r="J32" s="415"/>
      <c r="K32" s="416"/>
    </row>
    <row r="33" spans="1:11" ht="31.5" customHeight="1">
      <c r="A33" s="7"/>
      <c r="B33" s="424"/>
      <c r="C33" s="427"/>
      <c r="D33" s="415"/>
      <c r="E33" s="415"/>
      <c r="F33" s="415"/>
      <c r="G33" s="415"/>
      <c r="H33" s="415"/>
      <c r="I33" s="415"/>
      <c r="J33" s="415"/>
      <c r="K33" s="416"/>
    </row>
    <row r="34" spans="1:11" ht="12" customHeight="1">
      <c r="A34" s="7"/>
      <c r="B34" s="424"/>
      <c r="C34" s="427"/>
      <c r="D34" s="415"/>
      <c r="E34" s="415"/>
      <c r="F34" s="415"/>
      <c r="G34" s="415"/>
      <c r="H34" s="415"/>
      <c r="I34" s="415"/>
      <c r="J34" s="415"/>
      <c r="K34" s="416"/>
    </row>
    <row r="35" spans="1:11" ht="12" customHeight="1">
      <c r="A35" s="7"/>
      <c r="B35" s="424"/>
      <c r="C35" s="427"/>
      <c r="D35" s="415"/>
      <c r="E35" s="415"/>
      <c r="F35" s="415"/>
      <c r="G35" s="415"/>
      <c r="H35" s="415"/>
      <c r="I35" s="415"/>
      <c r="J35" s="415"/>
      <c r="K35" s="416"/>
    </row>
    <row r="36" spans="1:11" ht="31.5" customHeight="1">
      <c r="A36" s="7"/>
      <c r="B36" s="424"/>
      <c r="C36" s="427"/>
      <c r="D36" s="415"/>
      <c r="E36" s="415"/>
      <c r="F36" s="415"/>
      <c r="G36" s="415"/>
      <c r="H36" s="415"/>
      <c r="I36" s="415"/>
      <c r="J36" s="415"/>
      <c r="K36" s="416"/>
    </row>
    <row r="37" spans="1:11" ht="31.5" customHeight="1">
      <c r="A37" s="7"/>
      <c r="B37" s="424"/>
      <c r="C37" s="427"/>
      <c r="D37" s="415"/>
      <c r="E37" s="415"/>
      <c r="F37" s="415"/>
      <c r="G37" s="415"/>
      <c r="H37" s="415"/>
      <c r="I37" s="415"/>
      <c r="J37" s="415"/>
      <c r="K37" s="416"/>
    </row>
    <row r="38" spans="1:11" ht="34.5" customHeight="1">
      <c r="A38" s="7"/>
      <c r="B38" s="424"/>
      <c r="C38" s="427"/>
      <c r="D38" s="415"/>
      <c r="E38" s="415"/>
      <c r="F38" s="415"/>
      <c r="G38" s="415"/>
      <c r="H38" s="415"/>
      <c r="I38" s="415"/>
      <c r="J38" s="415"/>
      <c r="K38" s="416"/>
    </row>
    <row r="39" spans="1:11" ht="16.5" customHeight="1">
      <c r="B39" s="424"/>
      <c r="C39" s="427"/>
      <c r="D39" s="415"/>
      <c r="E39" s="415"/>
      <c r="F39" s="415"/>
      <c r="G39" s="415"/>
      <c r="H39" s="415"/>
      <c r="I39" s="415"/>
      <c r="J39" s="415"/>
      <c r="K39" s="416"/>
    </row>
    <row r="40" spans="1:11" ht="12" customHeight="1">
      <c r="B40" s="424"/>
      <c r="C40" s="427"/>
      <c r="D40" s="415"/>
      <c r="E40" s="415"/>
      <c r="F40" s="415"/>
      <c r="G40" s="415"/>
      <c r="H40" s="415"/>
      <c r="I40" s="415"/>
      <c r="J40" s="415"/>
      <c r="K40" s="416"/>
    </row>
    <row r="41" spans="1:11" ht="12" customHeight="1">
      <c r="B41" s="424"/>
      <c r="C41" s="427"/>
      <c r="D41" s="415"/>
      <c r="E41" s="415"/>
      <c r="F41" s="415"/>
      <c r="G41" s="415"/>
      <c r="H41" s="415"/>
      <c r="I41" s="415"/>
      <c r="J41" s="415"/>
      <c r="K41" s="416"/>
    </row>
    <row r="42" spans="1:11" ht="12" customHeight="1">
      <c r="B42" s="424"/>
      <c r="C42" s="427"/>
      <c r="D42" s="415"/>
      <c r="E42" s="415"/>
      <c r="F42" s="415"/>
      <c r="G42" s="415"/>
      <c r="H42" s="415"/>
      <c r="I42" s="415"/>
      <c r="J42" s="415"/>
      <c r="K42" s="416"/>
    </row>
    <row r="43" spans="1:11" ht="12" customHeight="1">
      <c r="B43" s="424"/>
      <c r="C43" s="427"/>
      <c r="D43" s="415"/>
      <c r="E43" s="415"/>
      <c r="F43" s="415"/>
      <c r="G43" s="415"/>
      <c r="H43" s="415"/>
      <c r="I43" s="415"/>
      <c r="J43" s="415"/>
      <c r="K43" s="416"/>
    </row>
    <row r="44" spans="1:11" ht="12" customHeight="1">
      <c r="B44" s="424"/>
      <c r="C44" s="427"/>
      <c r="D44" s="415"/>
      <c r="E44" s="415"/>
      <c r="F44" s="415"/>
      <c r="G44" s="415"/>
      <c r="H44" s="415"/>
      <c r="I44" s="415"/>
      <c r="J44" s="415"/>
      <c r="K44" s="416"/>
    </row>
    <row r="45" spans="1:11" ht="12" customHeight="1">
      <c r="B45" s="424"/>
      <c r="C45" s="427"/>
      <c r="D45" s="415"/>
      <c r="E45" s="415"/>
      <c r="F45" s="415"/>
      <c r="G45" s="415"/>
      <c r="H45" s="415"/>
      <c r="I45" s="415"/>
      <c r="J45" s="415"/>
      <c r="K45" s="416"/>
    </row>
    <row r="46" spans="1:11" ht="12" customHeight="1">
      <c r="B46" s="424"/>
      <c r="C46" s="427"/>
      <c r="D46" s="415"/>
      <c r="E46" s="415"/>
      <c r="F46" s="415"/>
      <c r="G46" s="415"/>
      <c r="H46" s="415"/>
      <c r="I46" s="415"/>
      <c r="J46" s="415"/>
      <c r="K46" s="416"/>
    </row>
    <row r="47" spans="1:11" ht="12" customHeight="1">
      <c r="B47" s="424"/>
      <c r="C47" s="427"/>
      <c r="D47" s="415"/>
      <c r="E47" s="415"/>
      <c r="F47" s="415"/>
      <c r="G47" s="415"/>
      <c r="H47" s="415"/>
      <c r="I47" s="415"/>
      <c r="J47" s="415"/>
      <c r="K47" s="416"/>
    </row>
    <row r="48" spans="1:11" ht="12" customHeight="1">
      <c r="B48" s="424"/>
      <c r="C48" s="427"/>
      <c r="D48" s="415"/>
      <c r="E48" s="415"/>
      <c r="F48" s="415"/>
      <c r="G48" s="415"/>
      <c r="H48" s="415"/>
      <c r="I48" s="415"/>
      <c r="J48" s="415"/>
      <c r="K48" s="416"/>
    </row>
    <row r="49" spans="2:11" ht="12" customHeight="1">
      <c r="B49" s="424"/>
      <c r="C49" s="427"/>
      <c r="D49" s="415"/>
      <c r="E49" s="415"/>
      <c r="F49" s="415"/>
      <c r="G49" s="415"/>
      <c r="H49" s="415"/>
      <c r="I49" s="415"/>
      <c r="J49" s="415"/>
      <c r="K49" s="416"/>
    </row>
    <row r="50" spans="2:11" ht="12" customHeight="1">
      <c r="B50" s="424"/>
      <c r="C50" s="427"/>
      <c r="D50" s="415"/>
      <c r="E50" s="415"/>
      <c r="F50" s="415"/>
      <c r="G50" s="415"/>
      <c r="H50" s="415"/>
      <c r="I50" s="415"/>
      <c r="J50" s="415"/>
      <c r="K50" s="416"/>
    </row>
    <row r="51" spans="2:11" ht="12" customHeight="1">
      <c r="B51" s="424"/>
      <c r="C51" s="427"/>
      <c r="D51" s="415"/>
      <c r="E51" s="415"/>
      <c r="F51" s="415"/>
      <c r="G51" s="415"/>
      <c r="H51" s="415"/>
      <c r="I51" s="415"/>
      <c r="J51" s="415"/>
      <c r="K51" s="416"/>
    </row>
    <row r="52" spans="2:11" ht="12" customHeight="1">
      <c r="B52" s="424"/>
      <c r="C52" s="427"/>
      <c r="D52" s="415"/>
      <c r="E52" s="415"/>
      <c r="F52" s="415"/>
      <c r="G52" s="415"/>
      <c r="H52" s="415"/>
      <c r="I52" s="415"/>
      <c r="J52" s="415"/>
      <c r="K52" s="416"/>
    </row>
    <row r="53" spans="2:11" ht="12" customHeight="1">
      <c r="B53" s="424"/>
      <c r="C53" s="427"/>
      <c r="D53" s="415"/>
      <c r="E53" s="415"/>
      <c r="F53" s="415"/>
      <c r="G53" s="415"/>
      <c r="H53" s="415"/>
      <c r="I53" s="415"/>
      <c r="J53" s="415"/>
      <c r="K53" s="416"/>
    </row>
    <row r="54" spans="2:11" ht="12" customHeight="1">
      <c r="B54" s="424"/>
      <c r="C54" s="427"/>
      <c r="D54" s="415"/>
      <c r="E54" s="415"/>
      <c r="F54" s="415"/>
      <c r="G54" s="415"/>
      <c r="H54" s="415"/>
      <c r="I54" s="415"/>
      <c r="J54" s="415"/>
      <c r="K54" s="416"/>
    </row>
    <row r="55" spans="2:11" ht="12" customHeight="1">
      <c r="B55" s="424"/>
      <c r="C55" s="427"/>
      <c r="D55" s="415"/>
      <c r="E55" s="415"/>
      <c r="F55" s="415"/>
      <c r="G55" s="415"/>
      <c r="H55" s="415"/>
      <c r="I55" s="415"/>
      <c r="J55" s="415"/>
      <c r="K55" s="416"/>
    </row>
    <row r="56" spans="2:11" ht="12" customHeight="1">
      <c r="B56" s="424"/>
      <c r="C56" s="427"/>
      <c r="D56" s="415"/>
      <c r="E56" s="415"/>
      <c r="F56" s="415"/>
      <c r="G56" s="415"/>
      <c r="H56" s="415"/>
      <c r="I56" s="415"/>
      <c r="J56" s="415"/>
      <c r="K56" s="416"/>
    </row>
    <row r="57" spans="2:11" ht="12" customHeight="1">
      <c r="B57" s="424"/>
      <c r="C57" s="427"/>
      <c r="D57" s="415"/>
      <c r="E57" s="415"/>
      <c r="F57" s="415"/>
      <c r="G57" s="415"/>
      <c r="H57" s="415"/>
      <c r="I57" s="415"/>
      <c r="J57" s="415"/>
      <c r="K57" s="416"/>
    </row>
    <row r="58" spans="2:11" ht="12" customHeight="1">
      <c r="B58" s="424"/>
      <c r="C58" s="427"/>
      <c r="D58" s="415"/>
      <c r="E58" s="415"/>
      <c r="F58" s="415"/>
      <c r="G58" s="415"/>
      <c r="H58" s="415"/>
      <c r="I58" s="415"/>
      <c r="J58" s="415"/>
      <c r="K58" s="416"/>
    </row>
    <row r="59" spans="2:11" ht="12" customHeight="1">
      <c r="B59" s="424"/>
      <c r="C59" s="427"/>
      <c r="D59" s="415"/>
      <c r="E59" s="415"/>
      <c r="F59" s="415"/>
      <c r="G59" s="415"/>
      <c r="H59" s="415"/>
      <c r="I59" s="415"/>
      <c r="J59" s="415"/>
      <c r="K59" s="416"/>
    </row>
    <row r="60" spans="2:11" ht="12" customHeight="1">
      <c r="B60" s="424"/>
      <c r="C60" s="427"/>
      <c r="D60" s="415"/>
      <c r="E60" s="415"/>
      <c r="F60" s="415"/>
      <c r="G60" s="415"/>
      <c r="H60" s="415"/>
      <c r="I60" s="415"/>
      <c r="J60" s="415"/>
      <c r="K60" s="416"/>
    </row>
    <row r="61" spans="2:11" ht="12" customHeight="1">
      <c r="B61" s="424"/>
      <c r="C61" s="427"/>
      <c r="D61" s="415"/>
      <c r="E61" s="415"/>
      <c r="F61" s="415"/>
      <c r="G61" s="415"/>
      <c r="H61" s="415"/>
      <c r="I61" s="415"/>
      <c r="J61" s="415"/>
      <c r="K61" s="416"/>
    </row>
    <row r="62" spans="2:11" ht="12" customHeight="1">
      <c r="B62" s="424"/>
      <c r="C62" s="427"/>
      <c r="D62" s="415"/>
      <c r="E62" s="415"/>
      <c r="F62" s="415"/>
      <c r="G62" s="415"/>
      <c r="H62" s="415"/>
      <c r="I62" s="415"/>
      <c r="J62" s="415"/>
      <c r="K62" s="416"/>
    </row>
    <row r="63" spans="2:11" ht="12" customHeight="1">
      <c r="B63" s="424"/>
      <c r="C63" s="427"/>
      <c r="D63" s="415"/>
      <c r="E63" s="415"/>
      <c r="F63" s="415"/>
      <c r="G63" s="415"/>
      <c r="H63" s="415"/>
      <c r="I63" s="415"/>
      <c r="J63" s="415"/>
      <c r="K63" s="416"/>
    </row>
    <row r="64" spans="2:11" ht="12" customHeight="1">
      <c r="B64" s="424"/>
      <c r="C64" s="427"/>
      <c r="D64" s="415"/>
      <c r="E64" s="415"/>
      <c r="F64" s="415"/>
      <c r="G64" s="415"/>
      <c r="H64" s="415"/>
      <c r="I64" s="415"/>
      <c r="J64" s="415"/>
      <c r="K64" s="416"/>
    </row>
    <row r="65" spans="2:11" ht="12" customHeight="1">
      <c r="B65" s="424"/>
      <c r="C65" s="427"/>
      <c r="D65" s="415"/>
      <c r="E65" s="415"/>
      <c r="F65" s="415"/>
      <c r="G65" s="415"/>
      <c r="H65" s="415"/>
      <c r="I65" s="415"/>
      <c r="J65" s="415"/>
      <c r="K65" s="416"/>
    </row>
    <row r="66" spans="2:11" ht="12" customHeight="1">
      <c r="B66" s="424"/>
      <c r="C66" s="427"/>
      <c r="D66" s="415"/>
      <c r="E66" s="415"/>
      <c r="F66" s="415"/>
      <c r="G66" s="415"/>
      <c r="H66" s="415"/>
      <c r="I66" s="415"/>
      <c r="J66" s="415"/>
      <c r="K66" s="416"/>
    </row>
    <row r="67" spans="2:11" ht="12" customHeight="1">
      <c r="B67" s="424"/>
      <c r="C67" s="427"/>
      <c r="D67" s="415"/>
      <c r="E67" s="415"/>
      <c r="F67" s="415"/>
      <c r="G67" s="415"/>
      <c r="H67" s="415"/>
      <c r="I67" s="415"/>
      <c r="J67" s="415"/>
      <c r="K67" s="416"/>
    </row>
    <row r="68" spans="2:11" ht="12" customHeight="1">
      <c r="B68" s="424"/>
      <c r="C68" s="427"/>
      <c r="D68" s="415"/>
      <c r="E68" s="415"/>
      <c r="F68" s="415"/>
      <c r="G68" s="415"/>
      <c r="H68" s="415"/>
      <c r="I68" s="415"/>
      <c r="J68" s="415"/>
      <c r="K68" s="416"/>
    </row>
    <row r="69" spans="2:11" ht="12" customHeight="1">
      <c r="B69" s="424"/>
      <c r="C69" s="427"/>
      <c r="D69" s="415"/>
      <c r="E69" s="415"/>
      <c r="F69" s="415"/>
      <c r="G69" s="415"/>
      <c r="H69" s="415"/>
      <c r="I69" s="415"/>
      <c r="J69" s="415"/>
      <c r="K69" s="416"/>
    </row>
    <row r="70" spans="2:11" ht="12" customHeight="1">
      <c r="B70" s="424"/>
      <c r="C70" s="427"/>
      <c r="D70" s="415"/>
      <c r="E70" s="415"/>
      <c r="F70" s="415"/>
      <c r="G70" s="415"/>
      <c r="H70" s="415"/>
      <c r="I70" s="415"/>
      <c r="J70" s="415"/>
      <c r="K70" s="416"/>
    </row>
    <row r="71" spans="2:11" ht="12" customHeight="1">
      <c r="B71" s="424"/>
      <c r="C71" s="427"/>
      <c r="D71" s="415"/>
      <c r="E71" s="415"/>
      <c r="F71" s="415"/>
      <c r="G71" s="415"/>
      <c r="H71" s="415"/>
      <c r="I71" s="415"/>
      <c r="J71" s="415"/>
      <c r="K71" s="416"/>
    </row>
    <row r="72" spans="2:11" ht="12" customHeight="1">
      <c r="B72" s="424"/>
      <c r="C72" s="427"/>
      <c r="D72" s="415"/>
      <c r="E72" s="415"/>
      <c r="F72" s="415"/>
      <c r="G72" s="415"/>
      <c r="H72" s="415"/>
      <c r="I72" s="415"/>
      <c r="J72" s="415"/>
      <c r="K72" s="416"/>
    </row>
    <row r="73" spans="2:11" ht="12" customHeight="1">
      <c r="B73" s="424"/>
      <c r="C73" s="427"/>
      <c r="D73" s="415"/>
      <c r="E73" s="415"/>
      <c r="F73" s="415"/>
      <c r="G73" s="415"/>
      <c r="H73" s="415"/>
      <c r="I73" s="415"/>
      <c r="J73" s="415"/>
      <c r="K73" s="416"/>
    </row>
    <row r="74" spans="2:11" ht="12" customHeight="1">
      <c r="B74" s="424"/>
      <c r="C74" s="427"/>
      <c r="D74" s="415"/>
      <c r="E74" s="415"/>
      <c r="F74" s="415"/>
      <c r="G74" s="415"/>
      <c r="H74" s="415"/>
      <c r="I74" s="415"/>
      <c r="J74" s="415"/>
      <c r="K74" s="416"/>
    </row>
    <row r="75" spans="2:11" ht="12" customHeight="1">
      <c r="B75" s="424"/>
      <c r="C75" s="427"/>
      <c r="D75" s="415"/>
      <c r="E75" s="415"/>
      <c r="F75" s="415"/>
      <c r="G75" s="415"/>
      <c r="H75" s="415"/>
      <c r="I75" s="415"/>
      <c r="J75" s="415"/>
      <c r="K75" s="416"/>
    </row>
    <row r="76" spans="2:11" ht="12" customHeight="1">
      <c r="B76" s="424"/>
      <c r="C76" s="427"/>
      <c r="D76" s="415"/>
      <c r="E76" s="415"/>
      <c r="F76" s="415"/>
      <c r="G76" s="415"/>
      <c r="H76" s="415"/>
      <c r="I76" s="415"/>
      <c r="J76" s="415"/>
      <c r="K76" s="416"/>
    </row>
    <row r="77" spans="2:11" ht="12" customHeight="1">
      <c r="B77" s="424"/>
      <c r="C77" s="427"/>
      <c r="D77" s="415"/>
      <c r="E77" s="415"/>
      <c r="F77" s="415"/>
      <c r="G77" s="415"/>
      <c r="H77" s="415"/>
      <c r="I77" s="415"/>
      <c r="J77" s="415"/>
      <c r="K77" s="416"/>
    </row>
    <row r="78" spans="2:11" ht="12" customHeight="1">
      <c r="B78" s="424"/>
      <c r="C78" s="427"/>
      <c r="D78" s="415"/>
      <c r="E78" s="415"/>
      <c r="F78" s="415"/>
      <c r="G78" s="415"/>
      <c r="H78" s="415"/>
      <c r="I78" s="415"/>
      <c r="J78" s="415"/>
      <c r="K78" s="416"/>
    </row>
    <row r="79" spans="2:11" ht="12" customHeight="1">
      <c r="B79" s="424"/>
      <c r="C79" s="427"/>
      <c r="D79" s="415"/>
      <c r="E79" s="415"/>
      <c r="F79" s="415"/>
      <c r="G79" s="415"/>
      <c r="H79" s="415"/>
      <c r="I79" s="415"/>
      <c r="J79" s="415"/>
      <c r="K79" s="416"/>
    </row>
    <row r="80" spans="2:11">
      <c r="B80" s="425"/>
      <c r="C80" s="428"/>
      <c r="D80" s="417"/>
      <c r="E80" s="417"/>
      <c r="F80" s="417"/>
      <c r="G80" s="417"/>
      <c r="H80" s="417"/>
      <c r="I80" s="417"/>
      <c r="J80" s="417"/>
      <c r="K80" s="418"/>
    </row>
    <row r="82" spans="3:5" ht="23.25">
      <c r="C82" s="19" t="s">
        <v>4</v>
      </c>
      <c r="D82" s="21" t="str">
        <f>START!$D$6</f>
        <v>[selecteer]</v>
      </c>
    </row>
    <row r="83" spans="3:5" ht="23.25">
      <c r="C83" s="19" t="s">
        <v>412</v>
      </c>
      <c r="D83" s="21" t="str">
        <f>START!$D$8</f>
        <v>[selecteer]</v>
      </c>
    </row>
    <row r="84" spans="3:5" ht="23.25">
      <c r="C84" s="19" t="s">
        <v>408</v>
      </c>
      <c r="D84" s="20" t="str">
        <f>IF(ISERROR(START!V1),IF(START!$W$1=0,"Vul in op tabblad START",START!D14),START!D10)</f>
        <v>Vul in op tabblad START</v>
      </c>
    </row>
    <row r="85" spans="3:5" ht="20.25">
      <c r="E85" s="103" t="str">
        <f>IF(D84="[selecteer]","  *selecteer op tabblad START","")</f>
        <v/>
      </c>
    </row>
    <row r="86" spans="3:5" ht="23.25">
      <c r="C86" s="411" t="s">
        <v>450</v>
      </c>
      <c r="D86" s="412"/>
    </row>
    <row r="87" spans="3:5" ht="23.25">
      <c r="C87" s="19" t="s">
        <v>393</v>
      </c>
      <c r="D87" s="23">
        <f>-D8</f>
        <v>0</v>
      </c>
    </row>
    <row r="88" spans="3:5" ht="23.25">
      <c r="C88" s="19" t="s">
        <v>394</v>
      </c>
      <c r="D88" s="24">
        <f>D9</f>
        <v>0</v>
      </c>
    </row>
    <row r="89" spans="3:5" ht="23.25">
      <c r="C89" s="19" t="str">
        <f>IFERROR(IF(D89="-","Financieel tekort",IF(D89&gt;0,"Rendement","Financieel tekort")),"Financieel tekort")</f>
        <v>Financieel tekort</v>
      </c>
      <c r="D89" s="23">
        <f>IFERROR(D87+D88,"-")</f>
        <v>0</v>
      </c>
    </row>
    <row r="90" spans="3:5" ht="23.25">
      <c r="C90" s="19" t="s">
        <v>521</v>
      </c>
      <c r="D90" s="201">
        <f>D11</f>
        <v>0</v>
      </c>
    </row>
    <row r="91" spans="3:5" ht="23.25">
      <c r="C91" s="19" t="s">
        <v>522</v>
      </c>
      <c r="D91" s="201">
        <f>D12</f>
        <v>0</v>
      </c>
    </row>
    <row r="92" spans="3:5" ht="23.25">
      <c r="C92" s="19" t="s">
        <v>573</v>
      </c>
      <c r="D92" s="203" t="str">
        <f>IF(D89&gt;=0,"geen financieel tekort",D89+D90+D91)</f>
        <v>geen financieel tekort</v>
      </c>
      <c r="E92" s="1" t="str">
        <f>IF(D92="geen financieel tekort"," ",(IF(D92&gt;0,"LET OP: GEEN FINANCIEEL TEKORT"," ")))</f>
        <v xml:space="preserve"> </v>
      </c>
    </row>
  </sheetData>
  <sheetProtection algorithmName="SHA-512" hashValue="iTo8tT7Yql4CROOGIiaJ/nLy8YuBCRbfT0cY/ZQJf2vk8HYfnfcXG694oGY/tObLX0n55cm0USxrK8EOt49J9g==" saltValue="utNaA8vCOO89enhMVNsAag==" spinCount="100000" sheet="1" objects="1" scenarios="1"/>
  <protectedRanges>
    <protectedRange sqref="D8:D9 D11:D12 C20:K80" name="invullen transformatie"/>
  </protectedRanges>
  <mergeCells count="5">
    <mergeCell ref="B8:B13"/>
    <mergeCell ref="C86:D86"/>
    <mergeCell ref="C20:K80"/>
    <mergeCell ref="B19:B80"/>
    <mergeCell ref="C19:K19"/>
  </mergeCells>
  <conditionalFormatting sqref="C20">
    <cfRule type="notContainsBlanks" dxfId="92" priority="15">
      <formula>LEN(TRIM(C20))&gt;0</formula>
    </cfRule>
  </conditionalFormatting>
  <conditionalFormatting sqref="D8:D9">
    <cfRule type="notContainsBlanks" dxfId="91" priority="30">
      <formula>LEN(TRIM(D8))&gt;0</formula>
    </cfRule>
  </conditionalFormatting>
  <conditionalFormatting sqref="D8:D10">
    <cfRule type="containsBlanks" dxfId="90" priority="24">
      <formula>LEN(TRIM(D8))=0</formula>
    </cfRule>
  </conditionalFormatting>
  <conditionalFormatting sqref="D9">
    <cfRule type="notContainsBlanks" dxfId="89" priority="14">
      <formula>LEN(TRIM(D9))&gt;0</formula>
    </cfRule>
  </conditionalFormatting>
  <conditionalFormatting sqref="D10">
    <cfRule type="notContainsBlanks" dxfId="88" priority="28">
      <formula>LEN(TRIM(D10))&gt;0</formula>
    </cfRule>
  </conditionalFormatting>
  <conditionalFormatting sqref="D11:D12">
    <cfRule type="notContainsBlanks" dxfId="87" priority="4">
      <formula>LEN(TRIM(D11))&gt;0</formula>
    </cfRule>
    <cfRule type="containsBlanks" dxfId="86" priority="5">
      <formula>LEN(TRIM(D11))=0</formula>
    </cfRule>
    <cfRule type="notContainsBlanks" dxfId="85" priority="6">
      <formula>LEN(TRIM(D11))&gt;0</formula>
    </cfRule>
  </conditionalFormatting>
  <conditionalFormatting sqref="D84">
    <cfRule type="containsText" dxfId="84" priority="16" operator="containsText" text="!!!">
      <formula>NOT(ISERROR(SEARCH("!!!",D84)))</formula>
    </cfRule>
  </conditionalFormatting>
  <conditionalFormatting sqref="D90:D91">
    <cfRule type="cellIs" dxfId="83" priority="1" operator="greaterThan">
      <formula>0</formula>
    </cfRule>
  </conditionalFormatting>
  <pageMargins left="0.7" right="0.7" top="0.75" bottom="0.75" header="0.3" footer="0.3"/>
  <pageSetup paperSize="9" orientation="portrait" r:id="rId1"/>
  <headerFooter>
    <oddFooter>&amp;L_x000D_&amp;1#&amp;"Calibri"&amp;10&amp;K000000 Intern gebruik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F8F3B-1059-472F-B46D-6FFAB5C8BC64}">
  <sheetPr codeName="Blad9">
    <tabColor theme="7" tint="0.79998168889431442"/>
  </sheetPr>
  <dimension ref="C2:T100"/>
  <sheetViews>
    <sheetView zoomScale="50" zoomScaleNormal="50" workbookViewId="0">
      <selection activeCell="C13" sqref="C13:K80"/>
    </sheetView>
  </sheetViews>
  <sheetFormatPr defaultColWidth="8.85546875" defaultRowHeight="15"/>
  <cols>
    <col min="1" max="1" width="8.85546875" style="238"/>
    <col min="2" max="2" width="3.5703125" style="238" bestFit="1" customWidth="1"/>
    <col min="3" max="3" width="39.42578125" style="238" bestFit="1" customWidth="1"/>
    <col min="4" max="4" width="255.7109375" style="238" bestFit="1" customWidth="1"/>
    <col min="5" max="10" width="45" style="238" customWidth="1"/>
    <col min="11" max="11" width="15.42578125" style="238" customWidth="1"/>
    <col min="12" max="12" width="8.85546875" style="238"/>
    <col min="13" max="13" width="134.42578125" style="238" bestFit="1" customWidth="1"/>
    <col min="14" max="19" width="39.5703125" style="238" bestFit="1" customWidth="1"/>
    <col min="20" max="20" width="40" style="238" customWidth="1"/>
    <col min="21" max="16384" width="8.85546875" style="238"/>
  </cols>
  <sheetData>
    <row r="2" spans="3:10" ht="23.25">
      <c r="E2" s="39" t="s">
        <v>398</v>
      </c>
    </row>
    <row r="3" spans="3:10" ht="14.45" customHeight="1"/>
    <row r="4" spans="3:10" ht="25.5">
      <c r="C4" s="347">
        <v>1</v>
      </c>
      <c r="D4" s="208" t="s">
        <v>380</v>
      </c>
      <c r="E4" s="202">
        <f>T37</f>
        <v>0</v>
      </c>
    </row>
    <row r="5" spans="3:10" ht="25.5">
      <c r="C5" s="349"/>
      <c r="D5" s="208" t="s">
        <v>562</v>
      </c>
      <c r="E5" s="202">
        <f>T28</f>
        <v>0</v>
      </c>
    </row>
    <row r="6" spans="3:10" ht="25.5">
      <c r="C6" s="349"/>
      <c r="D6" s="208" t="str">
        <f>IFERROR(IF(E6="-","Financieel tekort",IF(E6&gt;0,"Rendement","Financieel tekort")),"Financieel tekort")</f>
        <v>Financieel tekort</v>
      </c>
      <c r="E6" s="202">
        <f>IFERROR(T28+T37,"-")</f>
        <v>0</v>
      </c>
    </row>
    <row r="7" spans="3:10" ht="25.5">
      <c r="C7" s="349"/>
      <c r="D7" s="208" t="s">
        <v>564</v>
      </c>
      <c r="E7" s="126"/>
    </row>
    <row r="8" spans="3:10" ht="25.5">
      <c r="C8" s="349"/>
      <c r="D8" s="208" t="s">
        <v>565</v>
      </c>
      <c r="E8" s="126"/>
    </row>
    <row r="9" spans="3:10" ht="25.5">
      <c r="C9" s="349"/>
      <c r="D9" s="208" t="s">
        <v>566</v>
      </c>
      <c r="E9" s="126"/>
    </row>
    <row r="10" spans="3:10" ht="25.5">
      <c r="C10" s="348"/>
      <c r="D10" s="208" t="s">
        <v>573</v>
      </c>
      <c r="E10" s="203" t="str">
        <f>IF(E6&gt;=0,"geen financieel tekort",E6+E7+E8+E9)</f>
        <v>geen financieel tekort</v>
      </c>
      <c r="F10" s="1" t="str">
        <f>IF(E10="geen financieel tekort"," ",(IF(E10&gt;0,"LET OP: GEEN FINANCIEEL TEKORT"," ")))</f>
        <v xml:space="preserve"> </v>
      </c>
    </row>
    <row r="12" spans="3:10">
      <c r="C12" s="1"/>
      <c r="D12" s="361" t="s">
        <v>552</v>
      </c>
      <c r="E12" s="1"/>
      <c r="F12" s="1"/>
      <c r="G12" s="1"/>
      <c r="H12" s="1"/>
      <c r="I12" s="1"/>
      <c r="J12" s="1"/>
    </row>
    <row r="13" spans="3:10" ht="20.100000000000001" customHeight="1">
      <c r="C13" s="347">
        <v>2</v>
      </c>
      <c r="D13" s="436"/>
      <c r="E13" s="438" t="s">
        <v>555</v>
      </c>
      <c r="F13" s="439"/>
      <c r="G13" s="439"/>
      <c r="H13" s="439"/>
      <c r="I13" s="439"/>
      <c r="J13" s="440"/>
    </row>
    <row r="14" spans="3:10" ht="140.1" customHeight="1">
      <c r="C14" s="349"/>
      <c r="D14" s="437"/>
      <c r="E14" s="188" t="s">
        <v>0</v>
      </c>
      <c r="F14" s="221" t="s">
        <v>2</v>
      </c>
      <c r="G14" s="183" t="s">
        <v>350</v>
      </c>
      <c r="H14" s="183" t="s">
        <v>385</v>
      </c>
      <c r="I14" s="183" t="s">
        <v>386</v>
      </c>
      <c r="J14" s="71" t="s">
        <v>584</v>
      </c>
    </row>
    <row r="15" spans="3:10" ht="27.95" customHeight="1">
      <c r="C15" s="349"/>
      <c r="D15" s="224" t="s">
        <v>553</v>
      </c>
      <c r="E15" s="12" t="s">
        <v>413</v>
      </c>
      <c r="F15" s="12" t="s">
        <v>413</v>
      </c>
      <c r="G15" s="12" t="s">
        <v>413</v>
      </c>
      <c r="H15" s="12" t="s">
        <v>413</v>
      </c>
      <c r="I15" s="12" t="s">
        <v>413</v>
      </c>
      <c r="J15" s="12" t="s">
        <v>413</v>
      </c>
    </row>
    <row r="16" spans="3:10" ht="22.5" customHeight="1">
      <c r="C16" s="349"/>
      <c r="D16" s="187" t="s">
        <v>3</v>
      </c>
      <c r="E16" s="248"/>
      <c r="F16" s="248"/>
      <c r="G16" s="248"/>
      <c r="H16" s="248"/>
      <c r="I16" s="248"/>
      <c r="J16" s="248"/>
    </row>
    <row r="17" spans="3:20" ht="22.5" customHeight="1">
      <c r="C17" s="349"/>
      <c r="D17" s="187" t="s">
        <v>554</v>
      </c>
      <c r="E17" s="248"/>
      <c r="F17" s="248"/>
      <c r="G17" s="248"/>
      <c r="H17" s="248"/>
      <c r="I17" s="248"/>
      <c r="J17" s="248"/>
    </row>
    <row r="18" spans="3:20" ht="31.5">
      <c r="C18" s="348"/>
      <c r="D18" s="187" t="s">
        <v>556</v>
      </c>
      <c r="E18" s="248"/>
      <c r="F18" s="248"/>
      <c r="G18" s="248"/>
      <c r="H18" s="248"/>
      <c r="I18" s="248"/>
      <c r="J18" s="248"/>
      <c r="M18" s="441" t="s">
        <v>563</v>
      </c>
      <c r="N18" s="442"/>
      <c r="O18" s="442"/>
      <c r="P18" s="442"/>
      <c r="Q18" s="442"/>
      <c r="R18" s="442"/>
      <c r="S18" s="442"/>
      <c r="T18" s="443"/>
    </row>
    <row r="19" spans="3:20">
      <c r="M19" s="246"/>
      <c r="T19" s="247"/>
    </row>
    <row r="20" spans="3:20" ht="14.45" customHeight="1">
      <c r="M20" s="246"/>
      <c r="T20" s="247"/>
    </row>
    <row r="21" spans="3:20" ht="14.45" customHeight="1">
      <c r="C21" s="1"/>
      <c r="D21" s="361" t="s">
        <v>552</v>
      </c>
      <c r="E21" s="1"/>
      <c r="F21" s="1"/>
      <c r="G21" s="1"/>
      <c r="H21" s="1"/>
      <c r="I21" s="1"/>
      <c r="J21" s="1"/>
      <c r="M21" s="361" t="s">
        <v>561</v>
      </c>
      <c r="N21" s="1"/>
      <c r="O21" s="1"/>
      <c r="P21" s="1"/>
      <c r="Q21" s="1"/>
      <c r="R21" s="1"/>
      <c r="S21" s="1"/>
      <c r="T21" s="247"/>
    </row>
    <row r="22" spans="3:20" ht="17.100000000000001" customHeight="1">
      <c r="C22" s="347">
        <v>3</v>
      </c>
      <c r="D22" s="436"/>
      <c r="E22" s="433" t="s">
        <v>631</v>
      </c>
      <c r="F22" s="434"/>
      <c r="G22" s="434"/>
      <c r="H22" s="434"/>
      <c r="I22" s="434"/>
      <c r="J22" s="435"/>
      <c r="M22" s="430"/>
      <c r="N22" s="433" t="s">
        <v>633</v>
      </c>
      <c r="O22" s="434"/>
      <c r="P22" s="434"/>
      <c r="Q22" s="434"/>
      <c r="R22" s="434"/>
      <c r="S22" s="434"/>
      <c r="T22" s="435"/>
    </row>
    <row r="23" spans="3:20" ht="41.1" customHeight="1">
      <c r="C23" s="349"/>
      <c r="D23" s="437"/>
      <c r="E23" s="188" t="s">
        <v>0</v>
      </c>
      <c r="F23" s="221" t="s">
        <v>2</v>
      </c>
      <c r="G23" s="183" t="s">
        <v>350</v>
      </c>
      <c r="H23" s="183" t="s">
        <v>385</v>
      </c>
      <c r="I23" s="183" t="s">
        <v>386</v>
      </c>
      <c r="J23" s="71" t="s">
        <v>584</v>
      </c>
      <c r="M23" s="362"/>
      <c r="N23" s="188" t="s">
        <v>0</v>
      </c>
      <c r="O23" s="221" t="s">
        <v>2</v>
      </c>
      <c r="P23" s="183" t="s">
        <v>350</v>
      </c>
      <c r="Q23" s="183" t="s">
        <v>385</v>
      </c>
      <c r="R23" s="183" t="s">
        <v>386</v>
      </c>
      <c r="S23" s="71" t="s">
        <v>584</v>
      </c>
      <c r="T23" s="431" t="s">
        <v>346</v>
      </c>
    </row>
    <row r="24" spans="3:20" ht="21.6" customHeight="1">
      <c r="C24" s="349"/>
      <c r="D24" s="224" t="s">
        <v>633</v>
      </c>
      <c r="E24" s="12" t="s">
        <v>557</v>
      </c>
      <c r="F24" s="12" t="s">
        <v>557</v>
      </c>
      <c r="G24" s="12" t="s">
        <v>557</v>
      </c>
      <c r="H24" s="12" t="s">
        <v>557</v>
      </c>
      <c r="I24" s="12" t="s">
        <v>557</v>
      </c>
      <c r="J24" s="12" t="s">
        <v>557</v>
      </c>
      <c r="M24" s="222" t="s">
        <v>633</v>
      </c>
      <c r="N24" s="12" t="s">
        <v>557</v>
      </c>
      <c r="O24" s="12" t="s">
        <v>557</v>
      </c>
      <c r="P24" s="12" t="s">
        <v>557</v>
      </c>
      <c r="Q24" s="12" t="s">
        <v>557</v>
      </c>
      <c r="R24" s="12" t="s">
        <v>557</v>
      </c>
      <c r="S24" s="12" t="s">
        <v>557</v>
      </c>
      <c r="T24" s="432"/>
    </row>
    <row r="25" spans="3:20" ht="25.5">
      <c r="C25" s="349"/>
      <c r="D25" s="187" t="s">
        <v>3</v>
      </c>
      <c r="E25" s="248"/>
      <c r="F25" s="248"/>
      <c r="G25" s="248"/>
      <c r="H25" s="248"/>
      <c r="I25" s="248"/>
      <c r="J25" s="248"/>
      <c r="M25" s="196" t="s">
        <v>3</v>
      </c>
      <c r="N25" s="242">
        <f t="shared" ref="N25:S27" si="0">E16*E25</f>
        <v>0</v>
      </c>
      <c r="O25" s="242">
        <f t="shared" si="0"/>
        <v>0</v>
      </c>
      <c r="P25" s="242">
        <f t="shared" si="0"/>
        <v>0</v>
      </c>
      <c r="Q25" s="242">
        <f t="shared" si="0"/>
        <v>0</v>
      </c>
      <c r="R25" s="242">
        <f t="shared" si="0"/>
        <v>0</v>
      </c>
      <c r="S25" s="242">
        <f t="shared" si="0"/>
        <v>0</v>
      </c>
      <c r="T25" s="158">
        <f>SUM(N25:S25)</f>
        <v>0</v>
      </c>
    </row>
    <row r="26" spans="3:20" ht="25.5">
      <c r="C26" s="349"/>
      <c r="D26" s="187" t="s">
        <v>554</v>
      </c>
      <c r="E26" s="248"/>
      <c r="F26" s="248"/>
      <c r="G26" s="248"/>
      <c r="H26" s="248"/>
      <c r="I26" s="248"/>
      <c r="J26" s="248"/>
      <c r="M26" s="196" t="s">
        <v>554</v>
      </c>
      <c r="N26" s="242">
        <f t="shared" si="0"/>
        <v>0</v>
      </c>
      <c r="O26" s="242">
        <f t="shared" si="0"/>
        <v>0</v>
      </c>
      <c r="P26" s="242">
        <f t="shared" si="0"/>
        <v>0</v>
      </c>
      <c r="Q26" s="242">
        <f t="shared" si="0"/>
        <v>0</v>
      </c>
      <c r="R26" s="242">
        <f t="shared" si="0"/>
        <v>0</v>
      </c>
      <c r="S26" s="242">
        <f t="shared" si="0"/>
        <v>0</v>
      </c>
      <c r="T26" s="158">
        <f>SUM(N26:S26)</f>
        <v>0</v>
      </c>
    </row>
    <row r="27" spans="3:20" ht="25.5">
      <c r="C27" s="348"/>
      <c r="D27" s="187" t="s">
        <v>556</v>
      </c>
      <c r="E27" s="248"/>
      <c r="F27" s="248"/>
      <c r="G27" s="248"/>
      <c r="H27" s="248"/>
      <c r="I27" s="248"/>
      <c r="J27" s="248"/>
      <c r="M27" s="196" t="s">
        <v>556</v>
      </c>
      <c r="N27" s="242">
        <f t="shared" si="0"/>
        <v>0</v>
      </c>
      <c r="O27" s="242">
        <f t="shared" si="0"/>
        <v>0</v>
      </c>
      <c r="P27" s="242">
        <f t="shared" si="0"/>
        <v>0</v>
      </c>
      <c r="Q27" s="242">
        <f t="shared" si="0"/>
        <v>0</v>
      </c>
      <c r="R27" s="242">
        <f t="shared" si="0"/>
        <v>0</v>
      </c>
      <c r="S27" s="242">
        <f t="shared" si="0"/>
        <v>0</v>
      </c>
      <c r="T27" s="158">
        <f>SUM(N27:S27)</f>
        <v>0</v>
      </c>
    </row>
    <row r="28" spans="3:20" ht="23.25">
      <c r="M28" s="196" t="s">
        <v>346</v>
      </c>
      <c r="N28" s="158">
        <f t="shared" ref="N28:T28" si="1">SUM(N25:N27)</f>
        <v>0</v>
      </c>
      <c r="O28" s="158">
        <f t="shared" si="1"/>
        <v>0</v>
      </c>
      <c r="P28" s="158">
        <f t="shared" si="1"/>
        <v>0</v>
      </c>
      <c r="Q28" s="158">
        <f t="shared" si="1"/>
        <v>0</v>
      </c>
      <c r="R28" s="158">
        <f t="shared" si="1"/>
        <v>0</v>
      </c>
      <c r="S28" s="158">
        <f t="shared" si="1"/>
        <v>0</v>
      </c>
      <c r="T28" s="158">
        <f t="shared" si="1"/>
        <v>0</v>
      </c>
    </row>
    <row r="29" spans="3:20">
      <c r="M29" s="246"/>
      <c r="T29" s="247"/>
    </row>
    <row r="30" spans="3:20" ht="14.45" customHeight="1">
      <c r="C30" s="1"/>
      <c r="D30" s="361" t="s">
        <v>552</v>
      </c>
      <c r="E30" s="1"/>
      <c r="F30" s="1"/>
      <c r="G30" s="1"/>
      <c r="H30" s="1"/>
      <c r="I30" s="1"/>
      <c r="J30" s="1"/>
      <c r="M30" s="361" t="s">
        <v>559</v>
      </c>
      <c r="N30" s="1"/>
      <c r="O30" s="1"/>
      <c r="P30" s="1"/>
      <c r="Q30" s="1"/>
      <c r="R30" s="1"/>
      <c r="S30" s="1"/>
      <c r="T30" s="247"/>
    </row>
    <row r="31" spans="3:20" ht="20.100000000000001" customHeight="1">
      <c r="C31" s="347">
        <v>4</v>
      </c>
      <c r="D31" s="436"/>
      <c r="E31" s="433" t="s">
        <v>632</v>
      </c>
      <c r="F31" s="434"/>
      <c r="G31" s="434"/>
      <c r="H31" s="434"/>
      <c r="I31" s="434"/>
      <c r="J31" s="435"/>
      <c r="M31" s="430"/>
      <c r="N31" s="433" t="s">
        <v>632</v>
      </c>
      <c r="O31" s="434"/>
      <c r="P31" s="434"/>
      <c r="Q31" s="434"/>
      <c r="R31" s="434"/>
      <c r="S31" s="434"/>
      <c r="T31" s="435"/>
    </row>
    <row r="32" spans="3:20" ht="40.5">
      <c r="C32" s="349"/>
      <c r="D32" s="437"/>
      <c r="E32" s="188" t="s">
        <v>0</v>
      </c>
      <c r="F32" s="221" t="s">
        <v>2</v>
      </c>
      <c r="G32" s="183" t="s">
        <v>350</v>
      </c>
      <c r="H32" s="183" t="s">
        <v>385</v>
      </c>
      <c r="I32" s="183" t="s">
        <v>386</v>
      </c>
      <c r="J32" s="71" t="s">
        <v>584</v>
      </c>
      <c r="M32" s="362"/>
      <c r="N32" s="188" t="s">
        <v>0</v>
      </c>
      <c r="O32" s="221" t="s">
        <v>2</v>
      </c>
      <c r="P32" s="183" t="s">
        <v>350</v>
      </c>
      <c r="Q32" s="183" t="s">
        <v>385</v>
      </c>
      <c r="R32" s="183" t="s">
        <v>386</v>
      </c>
      <c r="S32" s="71" t="s">
        <v>584</v>
      </c>
      <c r="T32" s="431" t="s">
        <v>346</v>
      </c>
    </row>
    <row r="33" spans="3:20" ht="23.25">
      <c r="C33" s="349"/>
      <c r="D33" s="224" t="s">
        <v>568</v>
      </c>
      <c r="E33" s="12" t="s">
        <v>558</v>
      </c>
      <c r="F33" s="12" t="s">
        <v>558</v>
      </c>
      <c r="G33" s="12" t="s">
        <v>558</v>
      </c>
      <c r="H33" s="12" t="s">
        <v>558</v>
      </c>
      <c r="I33" s="12" t="s">
        <v>558</v>
      </c>
      <c r="J33" s="12" t="s">
        <v>558</v>
      </c>
      <c r="M33" s="222" t="s">
        <v>560</v>
      </c>
      <c r="N33" s="12" t="s">
        <v>558</v>
      </c>
      <c r="O33" s="12" t="s">
        <v>558</v>
      </c>
      <c r="P33" s="12" t="s">
        <v>558</v>
      </c>
      <c r="Q33" s="12" t="s">
        <v>558</v>
      </c>
      <c r="R33" s="12" t="s">
        <v>558</v>
      </c>
      <c r="S33" s="12" t="s">
        <v>558</v>
      </c>
      <c r="T33" s="432"/>
    </row>
    <row r="34" spans="3:20" ht="22.5" customHeight="1">
      <c r="C34" s="349"/>
      <c r="D34" s="187" t="s">
        <v>3</v>
      </c>
      <c r="E34" s="248"/>
      <c r="F34" s="248"/>
      <c r="G34" s="248"/>
      <c r="H34" s="248"/>
      <c r="I34" s="248"/>
      <c r="J34" s="248"/>
      <c r="M34" s="196" t="s">
        <v>3</v>
      </c>
      <c r="N34" s="242">
        <f>-E16*E34</f>
        <v>0</v>
      </c>
      <c r="O34" s="242">
        <f t="shared" ref="O34:S34" si="2">-F16*F34</f>
        <v>0</v>
      </c>
      <c r="P34" s="242">
        <f t="shared" si="2"/>
        <v>0</v>
      </c>
      <c r="Q34" s="242">
        <f t="shared" si="2"/>
        <v>0</v>
      </c>
      <c r="R34" s="242">
        <f t="shared" si="2"/>
        <v>0</v>
      </c>
      <c r="S34" s="242">
        <f t="shared" si="2"/>
        <v>0</v>
      </c>
      <c r="T34" s="158">
        <f>SUM(N34:S34)</f>
        <v>0</v>
      </c>
    </row>
    <row r="35" spans="3:20" ht="22.5" customHeight="1">
      <c r="C35" s="349"/>
      <c r="D35" s="187" t="s">
        <v>554</v>
      </c>
      <c r="E35" s="248"/>
      <c r="F35" s="248"/>
      <c r="G35" s="248"/>
      <c r="H35" s="248"/>
      <c r="I35" s="248"/>
      <c r="J35" s="248"/>
      <c r="M35" s="196" t="s">
        <v>554</v>
      </c>
      <c r="N35" s="242">
        <f t="shared" ref="N35:S35" si="3">-E17*E35</f>
        <v>0</v>
      </c>
      <c r="O35" s="242">
        <f t="shared" si="3"/>
        <v>0</v>
      </c>
      <c r="P35" s="242">
        <f t="shared" si="3"/>
        <v>0</v>
      </c>
      <c r="Q35" s="242">
        <f t="shared" si="3"/>
        <v>0</v>
      </c>
      <c r="R35" s="242">
        <f t="shared" si="3"/>
        <v>0</v>
      </c>
      <c r="S35" s="242">
        <f t="shared" si="3"/>
        <v>0</v>
      </c>
      <c r="T35" s="158">
        <f>SUM(N35:S35)</f>
        <v>0</v>
      </c>
    </row>
    <row r="36" spans="3:20" ht="25.5">
      <c r="C36" s="348"/>
      <c r="D36" s="187" t="s">
        <v>556</v>
      </c>
      <c r="E36" s="248"/>
      <c r="F36" s="248"/>
      <c r="G36" s="248"/>
      <c r="H36" s="248"/>
      <c r="I36" s="248"/>
      <c r="J36" s="248"/>
      <c r="M36" s="196" t="s">
        <v>556</v>
      </c>
      <c r="N36" s="242">
        <f t="shared" ref="N36:S36" si="4">-E18*E36</f>
        <v>0</v>
      </c>
      <c r="O36" s="242">
        <f t="shared" si="4"/>
        <v>0</v>
      </c>
      <c r="P36" s="242">
        <f t="shared" si="4"/>
        <v>0</v>
      </c>
      <c r="Q36" s="242">
        <f t="shared" si="4"/>
        <v>0</v>
      </c>
      <c r="R36" s="242">
        <f t="shared" si="4"/>
        <v>0</v>
      </c>
      <c r="S36" s="242">
        <f t="shared" si="4"/>
        <v>0</v>
      </c>
      <c r="T36" s="158">
        <f>SUM(N36:S36)</f>
        <v>0</v>
      </c>
    </row>
    <row r="37" spans="3:20" ht="23.25">
      <c r="M37" s="196" t="s">
        <v>346</v>
      </c>
      <c r="N37" s="158">
        <f t="shared" ref="N37:S37" si="5">SUM(N34:N36)</f>
        <v>0</v>
      </c>
      <c r="O37" s="158">
        <f t="shared" si="5"/>
        <v>0</v>
      </c>
      <c r="P37" s="158">
        <f t="shared" si="5"/>
        <v>0</v>
      </c>
      <c r="Q37" s="158">
        <f t="shared" si="5"/>
        <v>0</v>
      </c>
      <c r="R37" s="158">
        <f t="shared" si="5"/>
        <v>0</v>
      </c>
      <c r="S37" s="158">
        <f t="shared" si="5"/>
        <v>0</v>
      </c>
      <c r="T37" s="158">
        <f>SUM(T34:T36)</f>
        <v>0</v>
      </c>
    </row>
    <row r="38" spans="3:20" ht="20.100000000000001" customHeight="1"/>
    <row r="39" spans="3:20" ht="24.6" customHeight="1">
      <c r="C39" s="423">
        <v>5</v>
      </c>
      <c r="D39" s="429" t="s">
        <v>567</v>
      </c>
      <c r="E39" s="421"/>
      <c r="F39" s="421"/>
      <c r="G39" s="421"/>
      <c r="H39" s="421"/>
      <c r="I39" s="421"/>
      <c r="J39" s="421"/>
      <c r="K39" s="421"/>
      <c r="L39" s="422"/>
    </row>
    <row r="40" spans="3:20" ht="24.95" customHeight="1">
      <c r="C40" s="424"/>
      <c r="D40" s="426"/>
      <c r="E40" s="413"/>
      <c r="F40" s="413"/>
      <c r="G40" s="413"/>
      <c r="H40" s="413"/>
      <c r="I40" s="413"/>
      <c r="J40" s="413"/>
      <c r="K40" s="413"/>
      <c r="L40" s="414"/>
    </row>
    <row r="41" spans="3:20" ht="41.1" customHeight="1">
      <c r="C41" s="424"/>
      <c r="D41" s="427"/>
      <c r="E41" s="415"/>
      <c r="F41" s="415"/>
      <c r="G41" s="415"/>
      <c r="H41" s="415"/>
      <c r="I41" s="415"/>
      <c r="J41" s="415"/>
      <c r="K41" s="415"/>
      <c r="L41" s="416"/>
    </row>
    <row r="42" spans="3:20">
      <c r="C42" s="424"/>
      <c r="D42" s="427"/>
      <c r="E42" s="415"/>
      <c r="F42" s="415"/>
      <c r="G42" s="415"/>
      <c r="H42" s="415"/>
      <c r="I42" s="415"/>
      <c r="J42" s="415"/>
      <c r="K42" s="415"/>
      <c r="L42" s="416"/>
    </row>
    <row r="43" spans="3:20">
      <c r="C43" s="424"/>
      <c r="D43" s="427"/>
      <c r="E43" s="415"/>
      <c r="F43" s="415"/>
      <c r="G43" s="415"/>
      <c r="H43" s="415"/>
      <c r="I43" s="415"/>
      <c r="J43" s="415"/>
      <c r="K43" s="415"/>
      <c r="L43" s="416"/>
    </row>
    <row r="44" spans="3:20">
      <c r="C44" s="424"/>
      <c r="D44" s="427"/>
      <c r="E44" s="415"/>
      <c r="F44" s="415"/>
      <c r="G44" s="415"/>
      <c r="H44" s="415"/>
      <c r="I44" s="415"/>
      <c r="J44" s="415"/>
      <c r="K44" s="415"/>
      <c r="L44" s="416"/>
    </row>
    <row r="45" spans="3:20">
      <c r="C45" s="424"/>
      <c r="D45" s="427"/>
      <c r="E45" s="415"/>
      <c r="F45" s="415"/>
      <c r="G45" s="415"/>
      <c r="H45" s="415"/>
      <c r="I45" s="415"/>
      <c r="J45" s="415"/>
      <c r="K45" s="415"/>
      <c r="L45" s="416"/>
    </row>
    <row r="46" spans="3:20">
      <c r="C46" s="424"/>
      <c r="D46" s="427"/>
      <c r="E46" s="415"/>
      <c r="F46" s="415"/>
      <c r="G46" s="415"/>
      <c r="H46" s="415"/>
      <c r="I46" s="415"/>
      <c r="J46" s="415"/>
      <c r="K46" s="415"/>
      <c r="L46" s="416"/>
    </row>
    <row r="47" spans="3:20">
      <c r="C47" s="424"/>
      <c r="D47" s="427"/>
      <c r="E47" s="415"/>
      <c r="F47" s="415"/>
      <c r="G47" s="415"/>
      <c r="H47" s="415"/>
      <c r="I47" s="415"/>
      <c r="J47" s="415"/>
      <c r="K47" s="415"/>
      <c r="L47" s="416"/>
    </row>
    <row r="48" spans="3:20">
      <c r="C48" s="424"/>
      <c r="D48" s="427"/>
      <c r="E48" s="415"/>
      <c r="F48" s="415"/>
      <c r="G48" s="415"/>
      <c r="H48" s="415"/>
      <c r="I48" s="415"/>
      <c r="J48" s="415"/>
      <c r="K48" s="415"/>
      <c r="L48" s="416"/>
    </row>
    <row r="49" spans="3:12" ht="20.100000000000001" customHeight="1">
      <c r="C49" s="424"/>
      <c r="D49" s="427"/>
      <c r="E49" s="415"/>
      <c r="F49" s="415"/>
      <c r="G49" s="415"/>
      <c r="H49" s="415"/>
      <c r="I49" s="415"/>
      <c r="J49" s="415"/>
      <c r="K49" s="415"/>
      <c r="L49" s="416"/>
    </row>
    <row r="50" spans="3:12">
      <c r="C50" s="424"/>
      <c r="D50" s="427"/>
      <c r="E50" s="415"/>
      <c r="F50" s="415"/>
      <c r="G50" s="415"/>
      <c r="H50" s="415"/>
      <c r="I50" s="415"/>
      <c r="J50" s="415"/>
      <c r="K50" s="415"/>
      <c r="L50" s="416"/>
    </row>
    <row r="51" spans="3:12">
      <c r="C51" s="424"/>
      <c r="D51" s="427"/>
      <c r="E51" s="415"/>
      <c r="F51" s="415"/>
      <c r="G51" s="415"/>
      <c r="H51" s="415"/>
      <c r="I51" s="415"/>
      <c r="J51" s="415"/>
      <c r="K51" s="415"/>
      <c r="L51" s="416"/>
    </row>
    <row r="52" spans="3:12">
      <c r="C52" s="424"/>
      <c r="D52" s="427"/>
      <c r="E52" s="415"/>
      <c r="F52" s="415"/>
      <c r="G52" s="415"/>
      <c r="H52" s="415"/>
      <c r="I52" s="415"/>
      <c r="J52" s="415"/>
      <c r="K52" s="415"/>
      <c r="L52" s="416"/>
    </row>
    <row r="53" spans="3:12">
      <c r="C53" s="424"/>
      <c r="D53" s="427"/>
      <c r="E53" s="415"/>
      <c r="F53" s="415"/>
      <c r="G53" s="415"/>
      <c r="H53" s="415"/>
      <c r="I53" s="415"/>
      <c r="J53" s="415"/>
      <c r="K53" s="415"/>
      <c r="L53" s="416"/>
    </row>
    <row r="54" spans="3:12">
      <c r="C54" s="424"/>
      <c r="D54" s="427"/>
      <c r="E54" s="415"/>
      <c r="F54" s="415"/>
      <c r="G54" s="415"/>
      <c r="H54" s="415"/>
      <c r="I54" s="415"/>
      <c r="J54" s="415"/>
      <c r="K54" s="415"/>
      <c r="L54" s="416"/>
    </row>
    <row r="55" spans="3:12">
      <c r="C55" s="424"/>
      <c r="D55" s="427"/>
      <c r="E55" s="415"/>
      <c r="F55" s="415"/>
      <c r="G55" s="415"/>
      <c r="H55" s="415"/>
      <c r="I55" s="415"/>
      <c r="J55" s="415"/>
      <c r="K55" s="415"/>
      <c r="L55" s="416"/>
    </row>
    <row r="56" spans="3:12">
      <c r="C56" s="424"/>
      <c r="D56" s="427"/>
      <c r="E56" s="415"/>
      <c r="F56" s="415"/>
      <c r="G56" s="415"/>
      <c r="H56" s="415"/>
      <c r="I56" s="415"/>
      <c r="J56" s="415"/>
      <c r="K56" s="415"/>
      <c r="L56" s="416"/>
    </row>
    <row r="57" spans="3:12">
      <c r="C57" s="424"/>
      <c r="D57" s="427"/>
      <c r="E57" s="415"/>
      <c r="F57" s="415"/>
      <c r="G57" s="415"/>
      <c r="H57" s="415"/>
      <c r="I57" s="415"/>
      <c r="J57" s="415"/>
      <c r="K57" s="415"/>
      <c r="L57" s="416"/>
    </row>
    <row r="58" spans="3:12">
      <c r="C58" s="424"/>
      <c r="D58" s="427"/>
      <c r="E58" s="415"/>
      <c r="F58" s="415"/>
      <c r="G58" s="415"/>
      <c r="H58" s="415"/>
      <c r="I58" s="415"/>
      <c r="J58" s="415"/>
      <c r="K58" s="415"/>
      <c r="L58" s="416"/>
    </row>
    <row r="59" spans="3:12">
      <c r="C59" s="424"/>
      <c r="D59" s="427"/>
      <c r="E59" s="415"/>
      <c r="F59" s="415"/>
      <c r="G59" s="415"/>
      <c r="H59" s="415"/>
      <c r="I59" s="415"/>
      <c r="J59" s="415"/>
      <c r="K59" s="415"/>
      <c r="L59" s="416"/>
    </row>
    <row r="60" spans="3:12">
      <c r="C60" s="424"/>
      <c r="D60" s="427"/>
      <c r="E60" s="415"/>
      <c r="F60" s="415"/>
      <c r="G60" s="415"/>
      <c r="H60" s="415"/>
      <c r="I60" s="415"/>
      <c r="J60" s="415"/>
      <c r="K60" s="415"/>
      <c r="L60" s="416"/>
    </row>
    <row r="61" spans="3:12">
      <c r="C61" s="424"/>
      <c r="D61" s="427"/>
      <c r="E61" s="415"/>
      <c r="F61" s="415"/>
      <c r="G61" s="415"/>
      <c r="H61" s="415"/>
      <c r="I61" s="415"/>
      <c r="J61" s="415"/>
      <c r="K61" s="415"/>
      <c r="L61" s="416"/>
    </row>
    <row r="62" spans="3:12">
      <c r="C62" s="424"/>
      <c r="D62" s="427"/>
      <c r="E62" s="415"/>
      <c r="F62" s="415"/>
      <c r="G62" s="415"/>
      <c r="H62" s="415"/>
      <c r="I62" s="415"/>
      <c r="J62" s="415"/>
      <c r="K62" s="415"/>
      <c r="L62" s="416"/>
    </row>
    <row r="63" spans="3:12">
      <c r="C63" s="424"/>
      <c r="D63" s="427"/>
      <c r="E63" s="415"/>
      <c r="F63" s="415"/>
      <c r="G63" s="415"/>
      <c r="H63" s="415"/>
      <c r="I63" s="415"/>
      <c r="J63" s="415"/>
      <c r="K63" s="415"/>
      <c r="L63" s="416"/>
    </row>
    <row r="64" spans="3:12">
      <c r="C64" s="424"/>
      <c r="D64" s="427"/>
      <c r="E64" s="415"/>
      <c r="F64" s="415"/>
      <c r="G64" s="415"/>
      <c r="H64" s="415"/>
      <c r="I64" s="415"/>
      <c r="J64" s="415"/>
      <c r="K64" s="415"/>
      <c r="L64" s="416"/>
    </row>
    <row r="65" spans="3:12">
      <c r="C65" s="424"/>
      <c r="D65" s="427"/>
      <c r="E65" s="415"/>
      <c r="F65" s="415"/>
      <c r="G65" s="415"/>
      <c r="H65" s="415"/>
      <c r="I65" s="415"/>
      <c r="J65" s="415"/>
      <c r="K65" s="415"/>
      <c r="L65" s="416"/>
    </row>
    <row r="66" spans="3:12">
      <c r="C66" s="424"/>
      <c r="D66" s="427"/>
      <c r="E66" s="415"/>
      <c r="F66" s="415"/>
      <c r="G66" s="415"/>
      <c r="H66" s="415"/>
      <c r="I66" s="415"/>
      <c r="J66" s="415"/>
      <c r="K66" s="415"/>
      <c r="L66" s="416"/>
    </row>
    <row r="67" spans="3:12">
      <c r="C67" s="424"/>
      <c r="D67" s="427"/>
      <c r="E67" s="415"/>
      <c r="F67" s="415"/>
      <c r="G67" s="415"/>
      <c r="H67" s="415"/>
      <c r="I67" s="415"/>
      <c r="J67" s="415"/>
      <c r="K67" s="415"/>
      <c r="L67" s="416"/>
    </row>
    <row r="68" spans="3:12">
      <c r="C68" s="424"/>
      <c r="D68" s="427"/>
      <c r="E68" s="415"/>
      <c r="F68" s="415"/>
      <c r="G68" s="415"/>
      <c r="H68" s="415"/>
      <c r="I68" s="415"/>
      <c r="J68" s="415"/>
      <c r="K68" s="415"/>
      <c r="L68" s="416"/>
    </row>
    <row r="69" spans="3:12">
      <c r="C69" s="424"/>
      <c r="D69" s="427"/>
      <c r="E69" s="415"/>
      <c r="F69" s="415"/>
      <c r="G69" s="415"/>
      <c r="H69" s="415"/>
      <c r="I69" s="415"/>
      <c r="J69" s="415"/>
      <c r="K69" s="415"/>
      <c r="L69" s="416"/>
    </row>
    <row r="70" spans="3:12">
      <c r="C70" s="424"/>
      <c r="D70" s="427"/>
      <c r="E70" s="415"/>
      <c r="F70" s="415"/>
      <c r="G70" s="415"/>
      <c r="H70" s="415"/>
      <c r="I70" s="415"/>
      <c r="J70" s="415"/>
      <c r="K70" s="415"/>
      <c r="L70" s="416"/>
    </row>
    <row r="71" spans="3:12">
      <c r="C71" s="424"/>
      <c r="D71" s="427"/>
      <c r="E71" s="415"/>
      <c r="F71" s="415"/>
      <c r="G71" s="415"/>
      <c r="H71" s="415"/>
      <c r="I71" s="415"/>
      <c r="J71" s="415"/>
      <c r="K71" s="415"/>
      <c r="L71" s="416"/>
    </row>
    <row r="72" spans="3:12">
      <c r="C72" s="424"/>
      <c r="D72" s="427"/>
      <c r="E72" s="415"/>
      <c r="F72" s="415"/>
      <c r="G72" s="415"/>
      <c r="H72" s="415"/>
      <c r="I72" s="415"/>
      <c r="J72" s="415"/>
      <c r="K72" s="415"/>
      <c r="L72" s="416"/>
    </row>
    <row r="73" spans="3:12">
      <c r="C73" s="424"/>
      <c r="D73" s="427"/>
      <c r="E73" s="415"/>
      <c r="F73" s="415"/>
      <c r="G73" s="415"/>
      <c r="H73" s="415"/>
      <c r="I73" s="415"/>
      <c r="J73" s="415"/>
      <c r="K73" s="415"/>
      <c r="L73" s="416"/>
    </row>
    <row r="74" spans="3:12">
      <c r="C74" s="424"/>
      <c r="D74" s="427"/>
      <c r="E74" s="415"/>
      <c r="F74" s="415"/>
      <c r="G74" s="415"/>
      <c r="H74" s="415"/>
      <c r="I74" s="415"/>
      <c r="J74" s="415"/>
      <c r="K74" s="415"/>
      <c r="L74" s="416"/>
    </row>
    <row r="75" spans="3:12">
      <c r="C75" s="424"/>
      <c r="D75" s="427"/>
      <c r="E75" s="415"/>
      <c r="F75" s="415"/>
      <c r="G75" s="415"/>
      <c r="H75" s="415"/>
      <c r="I75" s="415"/>
      <c r="J75" s="415"/>
      <c r="K75" s="415"/>
      <c r="L75" s="416"/>
    </row>
    <row r="76" spans="3:12">
      <c r="C76" s="424"/>
      <c r="D76" s="427"/>
      <c r="E76" s="415"/>
      <c r="F76" s="415"/>
      <c r="G76" s="415"/>
      <c r="H76" s="415"/>
      <c r="I76" s="415"/>
      <c r="J76" s="415"/>
      <c r="K76" s="415"/>
      <c r="L76" s="416"/>
    </row>
    <row r="77" spans="3:12">
      <c r="C77" s="424"/>
      <c r="D77" s="427"/>
      <c r="E77" s="415"/>
      <c r="F77" s="415"/>
      <c r="G77" s="415"/>
      <c r="H77" s="415"/>
      <c r="I77" s="415"/>
      <c r="J77" s="415"/>
      <c r="K77" s="415"/>
      <c r="L77" s="416"/>
    </row>
    <row r="78" spans="3:12">
      <c r="C78" s="424"/>
      <c r="D78" s="427"/>
      <c r="E78" s="415"/>
      <c r="F78" s="415"/>
      <c r="G78" s="415"/>
      <c r="H78" s="415"/>
      <c r="I78" s="415"/>
      <c r="J78" s="415"/>
      <c r="K78" s="415"/>
      <c r="L78" s="416"/>
    </row>
    <row r="79" spans="3:12">
      <c r="C79" s="424"/>
      <c r="D79" s="427"/>
      <c r="E79" s="415"/>
      <c r="F79" s="415"/>
      <c r="G79" s="415"/>
      <c r="H79" s="415"/>
      <c r="I79" s="415"/>
      <c r="J79" s="415"/>
      <c r="K79" s="415"/>
      <c r="L79" s="416"/>
    </row>
    <row r="80" spans="3:12">
      <c r="C80" s="424"/>
      <c r="D80" s="427"/>
      <c r="E80" s="415"/>
      <c r="F80" s="415"/>
      <c r="G80" s="415"/>
      <c r="H80" s="415"/>
      <c r="I80" s="415"/>
      <c r="J80" s="415"/>
      <c r="K80" s="415"/>
      <c r="L80" s="416"/>
    </row>
    <row r="81" spans="3:12">
      <c r="C81" s="424"/>
      <c r="D81" s="427"/>
      <c r="E81" s="415"/>
      <c r="F81" s="415"/>
      <c r="G81" s="415"/>
      <c r="H81" s="415"/>
      <c r="I81" s="415"/>
      <c r="J81" s="415"/>
      <c r="K81" s="415"/>
      <c r="L81" s="416"/>
    </row>
    <row r="82" spans="3:12">
      <c r="C82" s="424"/>
      <c r="D82" s="427"/>
      <c r="E82" s="415"/>
      <c r="F82" s="415"/>
      <c r="G82" s="415"/>
      <c r="H82" s="415"/>
      <c r="I82" s="415"/>
      <c r="J82" s="415"/>
      <c r="K82" s="415"/>
      <c r="L82" s="416"/>
    </row>
    <row r="83" spans="3:12">
      <c r="C83" s="424"/>
      <c r="D83" s="427"/>
      <c r="E83" s="415"/>
      <c r="F83" s="415"/>
      <c r="G83" s="415"/>
      <c r="H83" s="415"/>
      <c r="I83" s="415"/>
      <c r="J83" s="415"/>
      <c r="K83" s="415"/>
      <c r="L83" s="416"/>
    </row>
    <row r="84" spans="3:12">
      <c r="C84" s="424"/>
      <c r="D84" s="427"/>
      <c r="E84" s="415"/>
      <c r="F84" s="415"/>
      <c r="G84" s="415"/>
      <c r="H84" s="415"/>
      <c r="I84" s="415"/>
      <c r="J84" s="415"/>
      <c r="K84" s="415"/>
      <c r="L84" s="416"/>
    </row>
    <row r="85" spans="3:12">
      <c r="C85" s="424"/>
      <c r="D85" s="427"/>
      <c r="E85" s="415"/>
      <c r="F85" s="415"/>
      <c r="G85" s="415"/>
      <c r="H85" s="415"/>
      <c r="I85" s="415"/>
      <c r="J85" s="415"/>
      <c r="K85" s="415"/>
      <c r="L85" s="416"/>
    </row>
    <row r="86" spans="3:12">
      <c r="C86" s="424"/>
      <c r="D86" s="427"/>
      <c r="E86" s="415"/>
      <c r="F86" s="415"/>
      <c r="G86" s="415"/>
      <c r="H86" s="415"/>
      <c r="I86" s="415"/>
      <c r="J86" s="415"/>
      <c r="K86" s="415"/>
      <c r="L86" s="416"/>
    </row>
    <row r="87" spans="3:12">
      <c r="C87" s="424"/>
      <c r="D87" s="427"/>
      <c r="E87" s="415"/>
      <c r="F87" s="415"/>
      <c r="G87" s="415"/>
      <c r="H87" s="415"/>
      <c r="I87" s="415"/>
      <c r="J87" s="415"/>
      <c r="K87" s="415"/>
      <c r="L87" s="416"/>
    </row>
    <row r="88" spans="3:12">
      <c r="C88" s="424"/>
      <c r="D88" s="427"/>
      <c r="E88" s="415"/>
      <c r="F88" s="415"/>
      <c r="G88" s="415"/>
      <c r="H88" s="415"/>
      <c r="I88" s="415"/>
      <c r="J88" s="415"/>
      <c r="K88" s="415"/>
      <c r="L88" s="416"/>
    </row>
    <row r="89" spans="3:12">
      <c r="C89" s="424"/>
      <c r="D89" s="427"/>
      <c r="E89" s="415"/>
      <c r="F89" s="415"/>
      <c r="G89" s="415"/>
      <c r="H89" s="415"/>
      <c r="I89" s="415"/>
      <c r="J89" s="415"/>
      <c r="K89" s="415"/>
      <c r="L89" s="416"/>
    </row>
    <row r="90" spans="3:12">
      <c r="C90" s="424"/>
      <c r="D90" s="427"/>
      <c r="E90" s="415"/>
      <c r="F90" s="415"/>
      <c r="G90" s="415"/>
      <c r="H90" s="415"/>
      <c r="I90" s="415"/>
      <c r="J90" s="415"/>
      <c r="K90" s="415"/>
      <c r="L90" s="416"/>
    </row>
    <row r="91" spans="3:12">
      <c r="C91" s="424"/>
      <c r="D91" s="427"/>
      <c r="E91" s="415"/>
      <c r="F91" s="415"/>
      <c r="G91" s="415"/>
      <c r="H91" s="415"/>
      <c r="I91" s="415"/>
      <c r="J91" s="415"/>
      <c r="K91" s="415"/>
      <c r="L91" s="416"/>
    </row>
    <row r="92" spans="3:12">
      <c r="C92" s="424"/>
      <c r="D92" s="427"/>
      <c r="E92" s="415"/>
      <c r="F92" s="415"/>
      <c r="G92" s="415"/>
      <c r="H92" s="415"/>
      <c r="I92" s="415"/>
      <c r="J92" s="415"/>
      <c r="K92" s="415"/>
      <c r="L92" s="416"/>
    </row>
    <row r="93" spans="3:12">
      <c r="C93" s="424"/>
      <c r="D93" s="427"/>
      <c r="E93" s="415"/>
      <c r="F93" s="415"/>
      <c r="G93" s="415"/>
      <c r="H93" s="415"/>
      <c r="I93" s="415"/>
      <c r="J93" s="415"/>
      <c r="K93" s="415"/>
      <c r="L93" s="416"/>
    </row>
    <row r="94" spans="3:12">
      <c r="C94" s="424"/>
      <c r="D94" s="427"/>
      <c r="E94" s="415"/>
      <c r="F94" s="415"/>
      <c r="G94" s="415"/>
      <c r="H94" s="415"/>
      <c r="I94" s="415"/>
      <c r="J94" s="415"/>
      <c r="K94" s="415"/>
      <c r="L94" s="416"/>
    </row>
    <row r="95" spans="3:12">
      <c r="C95" s="424"/>
      <c r="D95" s="427"/>
      <c r="E95" s="415"/>
      <c r="F95" s="415"/>
      <c r="G95" s="415"/>
      <c r="H95" s="415"/>
      <c r="I95" s="415"/>
      <c r="J95" s="415"/>
      <c r="K95" s="415"/>
      <c r="L95" s="416"/>
    </row>
    <row r="96" spans="3:12">
      <c r="C96" s="424"/>
      <c r="D96" s="427"/>
      <c r="E96" s="415"/>
      <c r="F96" s="415"/>
      <c r="G96" s="415"/>
      <c r="H96" s="415"/>
      <c r="I96" s="415"/>
      <c r="J96" s="415"/>
      <c r="K96" s="415"/>
      <c r="L96" s="416"/>
    </row>
    <row r="97" spans="3:12">
      <c r="C97" s="424"/>
      <c r="D97" s="427"/>
      <c r="E97" s="415"/>
      <c r="F97" s="415"/>
      <c r="G97" s="415"/>
      <c r="H97" s="415"/>
      <c r="I97" s="415"/>
      <c r="J97" s="415"/>
      <c r="K97" s="415"/>
      <c r="L97" s="416"/>
    </row>
    <row r="98" spans="3:12">
      <c r="C98" s="424"/>
      <c r="D98" s="427"/>
      <c r="E98" s="415"/>
      <c r="F98" s="415"/>
      <c r="G98" s="415"/>
      <c r="H98" s="415"/>
      <c r="I98" s="415"/>
      <c r="J98" s="415"/>
      <c r="K98" s="415"/>
      <c r="L98" s="416"/>
    </row>
    <row r="99" spans="3:12">
      <c r="C99" s="424"/>
      <c r="D99" s="427"/>
      <c r="E99" s="415"/>
      <c r="F99" s="415"/>
      <c r="G99" s="415"/>
      <c r="H99" s="415"/>
      <c r="I99" s="415"/>
      <c r="J99" s="415"/>
      <c r="K99" s="415"/>
      <c r="L99" s="416"/>
    </row>
    <row r="100" spans="3:12">
      <c r="C100" s="425"/>
      <c r="D100" s="428"/>
      <c r="E100" s="417"/>
      <c r="F100" s="417"/>
      <c r="G100" s="417"/>
      <c r="H100" s="417"/>
      <c r="I100" s="417"/>
      <c r="J100" s="417"/>
      <c r="K100" s="417"/>
      <c r="L100" s="418"/>
    </row>
  </sheetData>
  <sheetProtection algorithmName="SHA-512" hashValue="ra8ySexWUPsEgvi7B8EYSpYdj39wjX29vyXGLDRW9IQLG9S86U8TyrDkqzDAyMKFasm5zBI9tIFqJeM5MxNzTg==" saltValue="JmDbBrBY540n1Yy2y8Qrmg==" spinCount="100000" sheet="1" objects="1" scenarios="1"/>
  <protectedRanges>
    <protectedRange sqref="E7 E16:J18 E25:J27 E34:J36" name="invullen transformatie"/>
    <protectedRange sqref="E8:E9" name="invullen transformatie_1"/>
    <protectedRange sqref="D40:L100" name="invullen transformatie_2"/>
  </protectedRanges>
  <mergeCells count="20">
    <mergeCell ref="C4:C10"/>
    <mergeCell ref="C13:C18"/>
    <mergeCell ref="D21:D23"/>
    <mergeCell ref="C22:C27"/>
    <mergeCell ref="E22:J22"/>
    <mergeCell ref="N22:T22"/>
    <mergeCell ref="D30:D32"/>
    <mergeCell ref="C31:C36"/>
    <mergeCell ref="D12:D14"/>
    <mergeCell ref="E13:J13"/>
    <mergeCell ref="E31:J31"/>
    <mergeCell ref="M18:T18"/>
    <mergeCell ref="M21:M23"/>
    <mergeCell ref="C39:C100"/>
    <mergeCell ref="D39:L39"/>
    <mergeCell ref="D40:L100"/>
    <mergeCell ref="M30:M32"/>
    <mergeCell ref="T23:T24"/>
    <mergeCell ref="T32:T33"/>
    <mergeCell ref="N31:T31"/>
  </mergeCells>
  <conditionalFormatting sqref="D40">
    <cfRule type="notContainsBlanks" dxfId="82" priority="16">
      <formula>LEN(TRIM(D40))&gt;0</formula>
    </cfRule>
  </conditionalFormatting>
  <conditionalFormatting sqref="E4:E6">
    <cfRule type="cellIs" dxfId="81" priority="25" operator="lessThan">
      <formula>0</formula>
    </cfRule>
    <cfRule type="cellIs" dxfId="80" priority="26" operator="greaterThan">
      <formula>0</formula>
    </cfRule>
  </conditionalFormatting>
  <conditionalFormatting sqref="E7">
    <cfRule type="containsBlanks" dxfId="79" priority="21">
      <formula>LEN(TRIM(E7))=0</formula>
    </cfRule>
    <cfRule type="notContainsBlanks" dxfId="78" priority="22">
      <formula>LEN(TRIM(E7))&gt;0</formula>
    </cfRule>
  </conditionalFormatting>
  <conditionalFormatting sqref="E7:E9">
    <cfRule type="notContainsBlanks" dxfId="77" priority="19">
      <formula>LEN(TRIM(E7))&gt;0</formula>
    </cfRule>
  </conditionalFormatting>
  <conditionalFormatting sqref="E8:E9">
    <cfRule type="notContainsBlanks" dxfId="76" priority="17">
      <formula>LEN(TRIM(E8))&gt;0</formula>
    </cfRule>
    <cfRule type="containsBlanks" dxfId="75" priority="18">
      <formula>LEN(TRIM(E8))=0</formula>
    </cfRule>
  </conditionalFormatting>
  <conditionalFormatting sqref="E16:J18">
    <cfRule type="notContainsBlanks" dxfId="74" priority="13">
      <formula>LEN(TRIM(E16))&gt;0</formula>
    </cfRule>
    <cfRule type="containsBlanks" dxfId="73" priority="14">
      <formula>LEN(TRIM(E16))=0</formula>
    </cfRule>
    <cfRule type="notContainsBlanks" dxfId="72" priority="15">
      <formula>LEN(TRIM(E16))&gt;0</formula>
    </cfRule>
  </conditionalFormatting>
  <conditionalFormatting sqref="E25:J27">
    <cfRule type="notContainsBlanks" dxfId="71" priority="4">
      <formula>LEN(TRIM(E25))&gt;0</formula>
    </cfRule>
    <cfRule type="containsBlanks" dxfId="70" priority="5">
      <formula>LEN(TRIM(E25))=0</formula>
    </cfRule>
    <cfRule type="notContainsBlanks" dxfId="69" priority="6">
      <formula>LEN(TRIM(E25))&gt;0</formula>
    </cfRule>
  </conditionalFormatting>
  <conditionalFormatting sqref="E34:J36">
    <cfRule type="notContainsBlanks" dxfId="68" priority="1">
      <formula>LEN(TRIM(E34))&gt;0</formula>
    </cfRule>
    <cfRule type="containsBlanks" dxfId="67" priority="2">
      <formula>LEN(TRIM(E34))=0</formula>
    </cfRule>
    <cfRule type="notContainsBlanks" dxfId="66" priority="3">
      <formula>LEN(TRIM(E34))&gt;0</formula>
    </cfRule>
  </conditionalFormatting>
  <conditionalFormatting sqref="N25:S27">
    <cfRule type="containsBlanks" dxfId="65" priority="35">
      <formula>LEN(TRIM(N25))=0</formula>
    </cfRule>
    <cfRule type="notContainsBlanks" dxfId="64" priority="36">
      <formula>LEN(TRIM(N25))&gt;0</formula>
    </cfRule>
  </conditionalFormatting>
  <conditionalFormatting sqref="N28:S28">
    <cfRule type="expression" dxfId="63" priority="31">
      <formula>#REF!=""</formula>
    </cfRule>
  </conditionalFormatting>
  <conditionalFormatting sqref="N34:S36">
    <cfRule type="containsBlanks" dxfId="62" priority="27">
      <formula>LEN(TRIM(N34))=0</formula>
    </cfRule>
    <cfRule type="notContainsBlanks" dxfId="61" priority="28">
      <formula>LEN(TRIM(N34))&gt;0</formula>
    </cfRule>
  </conditionalFormatting>
  <conditionalFormatting sqref="N37:S37">
    <cfRule type="expression" dxfId="60" priority="29">
      <formula>#REF!=""</formula>
    </cfRule>
  </conditionalFormatting>
  <conditionalFormatting sqref="O34:S34 N35:S36">
    <cfRule type="containsBlanks" dxfId="59" priority="33">
      <formula>LEN(TRIM(N34))=0</formula>
    </cfRule>
    <cfRule type="notContainsBlanks" dxfId="58" priority="34">
      <formula>LEN(TRIM(N34))&gt;0</formula>
    </cfRule>
  </conditionalFormatting>
  <conditionalFormatting sqref="T25:T28">
    <cfRule type="expression" dxfId="57" priority="32">
      <formula>#REF!=""</formula>
    </cfRule>
  </conditionalFormatting>
  <conditionalFormatting sqref="T34:T37">
    <cfRule type="expression" dxfId="56" priority="30">
      <formula>#REF!=""</formula>
    </cfRule>
  </conditionalFormatting>
  <pageMargins left="0.7" right="0.7" top="0.75" bottom="0.75" header="0.3" footer="0.3"/>
  <pageSetup paperSize="9" orientation="portrait" horizontalDpi="1200" verticalDpi="1200" r:id="rId1"/>
  <headerFooter>
    <oddFooter>&amp;L_x000D_&amp;1#&amp;"Calibri"&amp;10&amp;K000000 Intern gebruik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814BE-793F-487D-B9B8-968A4D7A25F0}">
  <sheetPr codeName="Blad10">
    <tabColor theme="7" tint="0.79998168889431442"/>
  </sheetPr>
  <dimension ref="A1:AM73"/>
  <sheetViews>
    <sheetView zoomScale="50" zoomScaleNormal="50" workbookViewId="0">
      <selection activeCell="C13" sqref="C13:K80"/>
    </sheetView>
  </sheetViews>
  <sheetFormatPr defaultColWidth="8.85546875" defaultRowHeight="12"/>
  <cols>
    <col min="1" max="2" width="8.85546875" style="1"/>
    <col min="3" max="3" width="149.42578125" style="1" bestFit="1" customWidth="1"/>
    <col min="4" max="4" width="46.85546875" style="1" customWidth="1"/>
    <col min="5" max="5" width="46.42578125" style="1" bestFit="1" customWidth="1"/>
    <col min="6" max="6" width="33.42578125" style="1" customWidth="1"/>
    <col min="7" max="7" width="11.42578125" style="1" customWidth="1"/>
    <col min="8" max="8" width="33.42578125" style="1" customWidth="1"/>
    <col min="9" max="9" width="66.85546875" style="1" bestFit="1" customWidth="1"/>
    <col min="10" max="10" width="33.5703125" style="1" customWidth="1"/>
    <col min="11" max="11" width="28.85546875" style="1" bestFit="1" customWidth="1"/>
    <col min="12" max="12" width="27" style="1" bestFit="1" customWidth="1"/>
    <col min="13" max="13" width="17.7109375" style="1" customWidth="1"/>
    <col min="14" max="14" width="18.5703125" style="1" customWidth="1"/>
    <col min="15" max="15" width="19.42578125" style="1" customWidth="1"/>
    <col min="16" max="16" width="17" style="1" customWidth="1"/>
    <col min="17" max="17" width="17.5703125" style="1" customWidth="1"/>
    <col min="18" max="18" width="20.42578125" style="1" customWidth="1"/>
    <col min="19" max="19" width="4.7109375" style="1" customWidth="1"/>
    <col min="20" max="20" width="34.28515625" style="1" customWidth="1"/>
    <col min="21" max="21" width="19.7109375" style="1" customWidth="1"/>
    <col min="22" max="22" width="18.42578125" style="1" customWidth="1"/>
    <col min="23" max="23" width="17.28515625" style="1" customWidth="1"/>
    <col min="24" max="24" width="20" style="1" customWidth="1"/>
    <col min="25" max="25" width="18.85546875" style="1" customWidth="1"/>
    <col min="26" max="26" width="17.5703125" style="1" customWidth="1"/>
    <col min="27" max="27" width="17.42578125" style="1" customWidth="1"/>
    <col min="28" max="29" width="15" style="1" customWidth="1"/>
    <col min="30" max="30" width="15.42578125" style="1" customWidth="1"/>
    <col min="31" max="31" width="18.85546875" style="1" customWidth="1"/>
    <col min="32" max="32" width="14.5703125" style="1" customWidth="1"/>
    <col min="33" max="33" width="21.140625" style="1" customWidth="1"/>
    <col min="34" max="34" width="8.85546875" style="1"/>
    <col min="35" max="35" width="31" style="1" customWidth="1"/>
    <col min="36" max="36" width="23.140625" style="1" customWidth="1"/>
    <col min="37" max="37" width="17" style="1" customWidth="1"/>
    <col min="38" max="38" width="28.42578125" style="1" customWidth="1"/>
    <col min="39" max="39" width="17.5703125" style="1" customWidth="1"/>
    <col min="40" max="40" width="33.140625" style="1" customWidth="1"/>
    <col min="41" max="41" width="21" style="1" customWidth="1"/>
    <col min="42" max="42" width="20" style="1" customWidth="1"/>
    <col min="43" max="43" width="17.28515625" style="1" customWidth="1"/>
    <col min="44" max="44" width="15.7109375" style="1" customWidth="1"/>
    <col min="45" max="45" width="17.28515625" style="1" customWidth="1"/>
    <col min="46" max="46" width="14.28515625" style="1" customWidth="1"/>
    <col min="47" max="47" width="19.28515625" style="1" customWidth="1"/>
    <col min="48" max="48" width="18.7109375" style="1" customWidth="1"/>
    <col min="49" max="16384" width="8.85546875" style="1"/>
  </cols>
  <sheetData>
    <row r="1" spans="1:39" ht="18">
      <c r="A1" s="4" t="s">
        <v>431</v>
      </c>
      <c r="C1" s="6"/>
      <c r="D1" s="6"/>
      <c r="E1" s="6"/>
      <c r="F1" s="6"/>
      <c r="G1" s="6"/>
      <c r="H1" s="6"/>
      <c r="I1" s="6"/>
      <c r="J1" s="6"/>
      <c r="U1" s="8"/>
      <c r="V1" s="8"/>
      <c r="W1" s="8"/>
      <c r="X1" s="8"/>
      <c r="Y1" s="8"/>
      <c r="Z1" s="8"/>
      <c r="AA1" s="8"/>
      <c r="AB1" s="8"/>
      <c r="AC1" s="8"/>
      <c r="AD1" s="8"/>
      <c r="AE1" s="4"/>
      <c r="AF1" s="8"/>
      <c r="AG1" s="8"/>
      <c r="AH1" s="8"/>
      <c r="AI1" s="8"/>
      <c r="AJ1" s="8"/>
      <c r="AK1" s="8"/>
      <c r="AL1" s="8"/>
      <c r="AM1" s="8"/>
    </row>
    <row r="2" spans="1:39" ht="18"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9"/>
      <c r="V2" s="9"/>
      <c r="W2" s="9"/>
      <c r="X2" s="8"/>
      <c r="Y2" s="8"/>
      <c r="Z2" s="8"/>
      <c r="AA2" s="8"/>
      <c r="AB2" s="8"/>
      <c r="AC2" s="8"/>
      <c r="AD2" s="8"/>
      <c r="AE2" s="4"/>
      <c r="AF2" s="8"/>
      <c r="AG2" s="8"/>
      <c r="AH2" s="8"/>
      <c r="AI2" s="8"/>
      <c r="AJ2" s="8"/>
      <c r="AK2" s="8"/>
      <c r="AL2" s="8"/>
      <c r="AM2" s="8"/>
    </row>
    <row r="3" spans="1:39" ht="18">
      <c r="C3" s="5"/>
      <c r="D3" s="5"/>
      <c r="E3" s="5"/>
      <c r="F3" s="5"/>
      <c r="G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9"/>
      <c r="V3" s="9"/>
      <c r="W3" s="9"/>
      <c r="X3" s="8"/>
      <c r="Y3" s="8"/>
      <c r="Z3" s="8"/>
      <c r="AA3" s="8"/>
      <c r="AB3" s="8"/>
      <c r="AC3" s="8"/>
      <c r="AD3" s="8"/>
      <c r="AE3" s="4" t="s">
        <v>343</v>
      </c>
      <c r="AF3" s="8"/>
      <c r="AG3" s="8"/>
      <c r="AH3" s="8"/>
      <c r="AI3" s="8"/>
      <c r="AJ3" s="8"/>
      <c r="AK3" s="8"/>
      <c r="AL3" s="8"/>
      <c r="AM3" s="8"/>
    </row>
    <row r="4" spans="1:39" ht="23.25">
      <c r="C4" s="7"/>
      <c r="D4" s="39" t="s">
        <v>398</v>
      </c>
      <c r="E4" s="5"/>
      <c r="F4" s="5"/>
      <c r="G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9"/>
      <c r="V4" s="9"/>
      <c r="W4" s="9"/>
      <c r="X4" s="8"/>
      <c r="Y4" s="8"/>
      <c r="Z4" s="8"/>
      <c r="AA4" s="8"/>
      <c r="AB4" s="8"/>
      <c r="AC4" s="8"/>
      <c r="AD4" s="8"/>
      <c r="AE4" s="4"/>
      <c r="AF4" s="8"/>
      <c r="AG4" s="8"/>
      <c r="AH4" s="8"/>
      <c r="AI4" s="8"/>
      <c r="AJ4" s="8"/>
      <c r="AK4" s="8"/>
      <c r="AL4" s="8"/>
      <c r="AM4" s="8"/>
    </row>
    <row r="5" spans="1:39" ht="18">
      <c r="F5" s="5"/>
      <c r="G5" s="5"/>
      <c r="J5" s="5"/>
      <c r="K5" s="5"/>
      <c r="L5" s="5"/>
      <c r="M5" s="5"/>
      <c r="N5" s="5"/>
    </row>
    <row r="6" spans="1:39" ht="23.25">
      <c r="C6" s="7"/>
      <c r="D6" s="7"/>
      <c r="E6" s="7"/>
      <c r="F6" s="5"/>
      <c r="G6" s="5"/>
      <c r="J6" s="5"/>
      <c r="K6" s="5"/>
      <c r="L6" s="5"/>
      <c r="M6" s="5"/>
      <c r="N6" s="5"/>
    </row>
    <row r="7" spans="1:39" ht="23.25">
      <c r="C7" s="7"/>
      <c r="D7" s="7"/>
      <c r="E7" s="7"/>
      <c r="F7" s="5"/>
      <c r="G7" s="5"/>
      <c r="H7" s="5"/>
      <c r="I7" s="5"/>
      <c r="J7" s="5"/>
      <c r="K7" s="5"/>
      <c r="L7" s="5"/>
      <c r="M7" s="5"/>
      <c r="N7" s="5"/>
    </row>
    <row r="8" spans="1:39" ht="41.25" customHeight="1">
      <c r="B8" s="273">
        <v>1</v>
      </c>
      <c r="C8" s="208" t="s">
        <v>622</v>
      </c>
      <c r="D8" s="237"/>
      <c r="E8" s="7"/>
      <c r="F8" s="5"/>
      <c r="G8" s="5"/>
      <c r="H8" s="5"/>
      <c r="I8" s="5"/>
      <c r="J8" s="5"/>
      <c r="K8" s="5"/>
      <c r="L8" s="5"/>
      <c r="M8" s="5"/>
      <c r="N8" s="5"/>
    </row>
    <row r="9" spans="1:39" ht="41.25" customHeight="1">
      <c r="B9" s="5"/>
      <c r="C9" s="5"/>
      <c r="D9" s="5"/>
      <c r="E9" s="7"/>
      <c r="F9" s="5"/>
      <c r="G9" s="5"/>
      <c r="H9" s="5"/>
      <c r="I9" s="5"/>
      <c r="J9" s="5"/>
      <c r="K9" s="5"/>
      <c r="L9" s="5"/>
      <c r="M9" s="5"/>
      <c r="N9" s="5"/>
    </row>
    <row r="10" spans="1:39" ht="35.25" customHeight="1">
      <c r="B10" s="5"/>
      <c r="C10" s="5"/>
      <c r="D10" s="5"/>
      <c r="E10" s="7"/>
      <c r="F10" s="5"/>
      <c r="G10" s="5"/>
      <c r="H10" s="5"/>
      <c r="I10" s="5"/>
      <c r="J10" s="5"/>
      <c r="K10" s="5"/>
      <c r="L10" s="5"/>
      <c r="M10" s="5"/>
      <c r="N10" s="5"/>
    </row>
    <row r="11" spans="1:39" ht="35.25" customHeight="1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</row>
    <row r="12" spans="1:39" ht="36" customHeight="1">
      <c r="A12" s="7"/>
      <c r="B12" s="423">
        <v>2</v>
      </c>
      <c r="C12" s="429" t="s">
        <v>549</v>
      </c>
      <c r="D12" s="421"/>
      <c r="E12" s="421"/>
      <c r="F12" s="421"/>
      <c r="G12" s="421"/>
      <c r="H12" s="421"/>
      <c r="I12" s="421"/>
      <c r="J12" s="421"/>
      <c r="K12" s="422"/>
      <c r="L12" s="5"/>
      <c r="M12" s="5"/>
      <c r="N12" s="5"/>
    </row>
    <row r="13" spans="1:39" ht="31.5" customHeight="1">
      <c r="A13" s="7"/>
      <c r="B13" s="424"/>
      <c r="C13" s="426"/>
      <c r="D13" s="413"/>
      <c r="E13" s="413"/>
      <c r="F13" s="413"/>
      <c r="G13" s="413"/>
      <c r="H13" s="413"/>
      <c r="I13" s="413"/>
      <c r="J13" s="413"/>
      <c r="K13" s="414"/>
      <c r="L13" s="5"/>
      <c r="M13" s="5"/>
      <c r="N13" s="5"/>
    </row>
    <row r="14" spans="1:39" ht="37.5" customHeight="1">
      <c r="A14" s="7"/>
      <c r="B14" s="424"/>
      <c r="C14" s="427"/>
      <c r="D14" s="415"/>
      <c r="E14" s="415"/>
      <c r="F14" s="415"/>
      <c r="G14" s="415"/>
      <c r="H14" s="415"/>
      <c r="I14" s="415"/>
      <c r="J14" s="415"/>
      <c r="K14" s="416"/>
      <c r="L14" s="5"/>
      <c r="M14" s="5"/>
      <c r="N14" s="5"/>
    </row>
    <row r="15" spans="1:39" ht="36" customHeight="1">
      <c r="A15" s="7"/>
      <c r="B15" s="424"/>
      <c r="C15" s="427"/>
      <c r="D15" s="415"/>
      <c r="E15" s="415"/>
      <c r="F15" s="415"/>
      <c r="G15" s="415"/>
      <c r="H15" s="415"/>
      <c r="I15" s="415"/>
      <c r="J15" s="415"/>
      <c r="K15" s="416"/>
      <c r="L15" s="5"/>
      <c r="M15" s="5"/>
      <c r="N15" s="5"/>
    </row>
    <row r="16" spans="1:39" ht="33.75" customHeight="1">
      <c r="A16" s="7"/>
      <c r="B16" s="424"/>
      <c r="C16" s="427"/>
      <c r="D16" s="415"/>
      <c r="E16" s="415"/>
      <c r="F16" s="415"/>
      <c r="G16" s="415"/>
      <c r="H16" s="415"/>
      <c r="I16" s="415"/>
      <c r="J16" s="415"/>
      <c r="K16" s="416"/>
      <c r="L16" s="5"/>
      <c r="M16" s="5"/>
      <c r="N16" s="5"/>
    </row>
    <row r="17" spans="1:14" ht="18" customHeight="1">
      <c r="A17" s="7"/>
      <c r="B17" s="424"/>
      <c r="C17" s="427"/>
      <c r="D17" s="415"/>
      <c r="E17" s="415"/>
      <c r="F17" s="415"/>
      <c r="G17" s="415"/>
      <c r="H17" s="415"/>
      <c r="I17" s="415"/>
      <c r="J17" s="415"/>
      <c r="K17" s="416"/>
      <c r="L17" s="5"/>
      <c r="M17" s="5"/>
      <c r="N17" s="5"/>
    </row>
    <row r="18" spans="1:14" ht="18" customHeight="1">
      <c r="A18" s="7"/>
      <c r="B18" s="424"/>
      <c r="C18" s="427"/>
      <c r="D18" s="415"/>
      <c r="E18" s="415"/>
      <c r="F18" s="415"/>
      <c r="G18" s="415"/>
      <c r="H18" s="415"/>
      <c r="I18" s="415"/>
      <c r="J18" s="415"/>
      <c r="K18" s="416"/>
      <c r="L18" s="5"/>
      <c r="M18" s="5"/>
      <c r="N18" s="5"/>
    </row>
    <row r="19" spans="1:14" ht="18" customHeight="1">
      <c r="A19" s="7"/>
      <c r="B19" s="424"/>
      <c r="C19" s="427"/>
      <c r="D19" s="415"/>
      <c r="E19" s="415"/>
      <c r="F19" s="415"/>
      <c r="G19" s="415"/>
      <c r="H19" s="415"/>
      <c r="I19" s="415"/>
      <c r="J19" s="415"/>
      <c r="K19" s="416"/>
      <c r="L19" s="5"/>
      <c r="M19" s="5"/>
      <c r="N19" s="5"/>
    </row>
    <row r="20" spans="1:14" ht="18" customHeight="1">
      <c r="A20" s="7"/>
      <c r="B20" s="424"/>
      <c r="C20" s="427"/>
      <c r="D20" s="415"/>
      <c r="E20" s="415"/>
      <c r="F20" s="415"/>
      <c r="G20" s="415"/>
      <c r="H20" s="415"/>
      <c r="I20" s="415"/>
      <c r="J20" s="415"/>
      <c r="K20" s="416"/>
      <c r="L20" s="5"/>
      <c r="M20" s="5"/>
      <c r="N20" s="5"/>
    </row>
    <row r="21" spans="1:14" ht="21" customHeight="1">
      <c r="A21" s="7"/>
      <c r="B21" s="424"/>
      <c r="C21" s="427"/>
      <c r="D21" s="415"/>
      <c r="E21" s="415"/>
      <c r="F21" s="415"/>
      <c r="G21" s="415"/>
      <c r="H21" s="415"/>
      <c r="I21" s="415"/>
      <c r="J21" s="415"/>
      <c r="K21" s="416"/>
      <c r="L21" s="5"/>
      <c r="M21" s="5"/>
      <c r="N21" s="5"/>
    </row>
    <row r="22" spans="1:14" ht="12" customHeight="1">
      <c r="A22" s="7"/>
      <c r="B22" s="424"/>
      <c r="C22" s="427"/>
      <c r="D22" s="415"/>
      <c r="E22" s="415"/>
      <c r="F22" s="415"/>
      <c r="G22" s="415"/>
      <c r="H22" s="415"/>
      <c r="I22" s="415"/>
      <c r="J22" s="415"/>
      <c r="K22" s="416"/>
    </row>
    <row r="23" spans="1:14" ht="12" customHeight="1">
      <c r="A23" s="7"/>
      <c r="B23" s="424"/>
      <c r="C23" s="427"/>
      <c r="D23" s="415"/>
      <c r="E23" s="415"/>
      <c r="F23" s="415"/>
      <c r="G23" s="415"/>
      <c r="H23" s="415"/>
      <c r="I23" s="415"/>
      <c r="J23" s="415"/>
      <c r="K23" s="416"/>
    </row>
    <row r="24" spans="1:14" ht="12" customHeight="1">
      <c r="A24" s="7"/>
      <c r="B24" s="424"/>
      <c r="C24" s="427"/>
      <c r="D24" s="415"/>
      <c r="E24" s="415"/>
      <c r="F24" s="415"/>
      <c r="G24" s="415"/>
      <c r="H24" s="415"/>
      <c r="I24" s="415"/>
      <c r="J24" s="415"/>
      <c r="K24" s="416"/>
    </row>
    <row r="25" spans="1:14" ht="12" customHeight="1">
      <c r="A25" s="7"/>
      <c r="B25" s="424"/>
      <c r="C25" s="427"/>
      <c r="D25" s="415"/>
      <c r="E25" s="415"/>
      <c r="F25" s="415"/>
      <c r="G25" s="415"/>
      <c r="H25" s="415"/>
      <c r="I25" s="415"/>
      <c r="J25" s="415"/>
      <c r="K25" s="416"/>
    </row>
    <row r="26" spans="1:14" ht="31.5" customHeight="1">
      <c r="A26" s="7"/>
      <c r="B26" s="424"/>
      <c r="C26" s="427"/>
      <c r="D26" s="415"/>
      <c r="E26" s="415"/>
      <c r="F26" s="415"/>
      <c r="G26" s="415"/>
      <c r="H26" s="415"/>
      <c r="I26" s="415"/>
      <c r="J26" s="415"/>
      <c r="K26" s="416"/>
    </row>
    <row r="27" spans="1:14" ht="12" customHeight="1">
      <c r="A27" s="7"/>
      <c r="B27" s="424"/>
      <c r="C27" s="427"/>
      <c r="D27" s="415"/>
      <c r="E27" s="415"/>
      <c r="F27" s="415"/>
      <c r="G27" s="415"/>
      <c r="H27" s="415"/>
      <c r="I27" s="415"/>
      <c r="J27" s="415"/>
      <c r="K27" s="416"/>
    </row>
    <row r="28" spans="1:14" ht="12" customHeight="1">
      <c r="A28" s="7"/>
      <c r="B28" s="424"/>
      <c r="C28" s="427"/>
      <c r="D28" s="415"/>
      <c r="E28" s="415"/>
      <c r="F28" s="415"/>
      <c r="G28" s="415"/>
      <c r="H28" s="415"/>
      <c r="I28" s="415"/>
      <c r="J28" s="415"/>
      <c r="K28" s="416"/>
    </row>
    <row r="29" spans="1:14" ht="31.5" customHeight="1">
      <c r="A29" s="7"/>
      <c r="B29" s="424"/>
      <c r="C29" s="427"/>
      <c r="D29" s="415"/>
      <c r="E29" s="415"/>
      <c r="F29" s="415"/>
      <c r="G29" s="415"/>
      <c r="H29" s="415"/>
      <c r="I29" s="415"/>
      <c r="J29" s="415"/>
      <c r="K29" s="416"/>
    </row>
    <row r="30" spans="1:14" ht="31.5" customHeight="1">
      <c r="A30" s="7"/>
      <c r="B30" s="424"/>
      <c r="C30" s="427"/>
      <c r="D30" s="415"/>
      <c r="E30" s="415"/>
      <c r="F30" s="415"/>
      <c r="G30" s="415"/>
      <c r="H30" s="415"/>
      <c r="I30" s="415"/>
      <c r="J30" s="415"/>
      <c r="K30" s="416"/>
    </row>
    <row r="31" spans="1:14" ht="34.5" customHeight="1">
      <c r="A31" s="7"/>
      <c r="B31" s="424"/>
      <c r="C31" s="427"/>
      <c r="D31" s="415"/>
      <c r="E31" s="415"/>
      <c r="F31" s="415"/>
      <c r="G31" s="415"/>
      <c r="H31" s="415"/>
      <c r="I31" s="415"/>
      <c r="J31" s="415"/>
      <c r="K31" s="416"/>
    </row>
    <row r="32" spans="1:14" ht="16.5" customHeight="1">
      <c r="B32" s="424"/>
      <c r="C32" s="427"/>
      <c r="D32" s="415"/>
      <c r="E32" s="415"/>
      <c r="F32" s="415"/>
      <c r="G32" s="415"/>
      <c r="H32" s="415"/>
      <c r="I32" s="415"/>
      <c r="J32" s="415"/>
      <c r="K32" s="416"/>
    </row>
    <row r="33" spans="2:11" ht="12" customHeight="1">
      <c r="B33" s="424"/>
      <c r="C33" s="427"/>
      <c r="D33" s="415"/>
      <c r="E33" s="415"/>
      <c r="F33" s="415"/>
      <c r="G33" s="415"/>
      <c r="H33" s="415"/>
      <c r="I33" s="415"/>
      <c r="J33" s="415"/>
      <c r="K33" s="416"/>
    </row>
    <row r="34" spans="2:11" ht="12" customHeight="1">
      <c r="B34" s="424"/>
      <c r="C34" s="427"/>
      <c r="D34" s="415"/>
      <c r="E34" s="415"/>
      <c r="F34" s="415"/>
      <c r="G34" s="415"/>
      <c r="H34" s="415"/>
      <c r="I34" s="415"/>
      <c r="J34" s="415"/>
      <c r="K34" s="416"/>
    </row>
    <row r="35" spans="2:11" ht="12" customHeight="1">
      <c r="B35" s="424"/>
      <c r="C35" s="427"/>
      <c r="D35" s="415"/>
      <c r="E35" s="415"/>
      <c r="F35" s="415"/>
      <c r="G35" s="415"/>
      <c r="H35" s="415"/>
      <c r="I35" s="415"/>
      <c r="J35" s="415"/>
      <c r="K35" s="416"/>
    </row>
    <row r="36" spans="2:11" ht="12" customHeight="1">
      <c r="B36" s="424"/>
      <c r="C36" s="427"/>
      <c r="D36" s="415"/>
      <c r="E36" s="415"/>
      <c r="F36" s="415"/>
      <c r="G36" s="415"/>
      <c r="H36" s="415"/>
      <c r="I36" s="415"/>
      <c r="J36" s="415"/>
      <c r="K36" s="416"/>
    </row>
    <row r="37" spans="2:11" ht="12" customHeight="1">
      <c r="B37" s="424"/>
      <c r="C37" s="427"/>
      <c r="D37" s="415"/>
      <c r="E37" s="415"/>
      <c r="F37" s="415"/>
      <c r="G37" s="415"/>
      <c r="H37" s="415"/>
      <c r="I37" s="415"/>
      <c r="J37" s="415"/>
      <c r="K37" s="416"/>
    </row>
    <row r="38" spans="2:11" ht="12" customHeight="1">
      <c r="B38" s="424"/>
      <c r="C38" s="427"/>
      <c r="D38" s="415"/>
      <c r="E38" s="415"/>
      <c r="F38" s="415"/>
      <c r="G38" s="415"/>
      <c r="H38" s="415"/>
      <c r="I38" s="415"/>
      <c r="J38" s="415"/>
      <c r="K38" s="416"/>
    </row>
    <row r="39" spans="2:11" ht="12" customHeight="1">
      <c r="B39" s="424"/>
      <c r="C39" s="427"/>
      <c r="D39" s="415"/>
      <c r="E39" s="415"/>
      <c r="F39" s="415"/>
      <c r="G39" s="415"/>
      <c r="H39" s="415"/>
      <c r="I39" s="415"/>
      <c r="J39" s="415"/>
      <c r="K39" s="416"/>
    </row>
    <row r="40" spans="2:11" ht="12" customHeight="1">
      <c r="B40" s="424"/>
      <c r="C40" s="427"/>
      <c r="D40" s="415"/>
      <c r="E40" s="415"/>
      <c r="F40" s="415"/>
      <c r="G40" s="415"/>
      <c r="H40" s="415"/>
      <c r="I40" s="415"/>
      <c r="J40" s="415"/>
      <c r="K40" s="416"/>
    </row>
    <row r="41" spans="2:11" ht="12" customHeight="1">
      <c r="B41" s="424"/>
      <c r="C41" s="427"/>
      <c r="D41" s="415"/>
      <c r="E41" s="415"/>
      <c r="F41" s="415"/>
      <c r="G41" s="415"/>
      <c r="H41" s="415"/>
      <c r="I41" s="415"/>
      <c r="J41" s="415"/>
      <c r="K41" s="416"/>
    </row>
    <row r="42" spans="2:11" ht="12" customHeight="1">
      <c r="B42" s="424"/>
      <c r="C42" s="427"/>
      <c r="D42" s="415"/>
      <c r="E42" s="415"/>
      <c r="F42" s="415"/>
      <c r="G42" s="415"/>
      <c r="H42" s="415"/>
      <c r="I42" s="415"/>
      <c r="J42" s="415"/>
      <c r="K42" s="416"/>
    </row>
    <row r="43" spans="2:11" ht="12" customHeight="1">
      <c r="B43" s="424"/>
      <c r="C43" s="427"/>
      <c r="D43" s="415"/>
      <c r="E43" s="415"/>
      <c r="F43" s="415"/>
      <c r="G43" s="415"/>
      <c r="H43" s="415"/>
      <c r="I43" s="415"/>
      <c r="J43" s="415"/>
      <c r="K43" s="416"/>
    </row>
    <row r="44" spans="2:11" ht="12" customHeight="1">
      <c r="B44" s="424"/>
      <c r="C44" s="427"/>
      <c r="D44" s="415"/>
      <c r="E44" s="415"/>
      <c r="F44" s="415"/>
      <c r="G44" s="415"/>
      <c r="H44" s="415"/>
      <c r="I44" s="415"/>
      <c r="J44" s="415"/>
      <c r="K44" s="416"/>
    </row>
    <row r="45" spans="2:11" ht="12" customHeight="1">
      <c r="B45" s="424"/>
      <c r="C45" s="427"/>
      <c r="D45" s="415"/>
      <c r="E45" s="415"/>
      <c r="F45" s="415"/>
      <c r="G45" s="415"/>
      <c r="H45" s="415"/>
      <c r="I45" s="415"/>
      <c r="J45" s="415"/>
      <c r="K45" s="416"/>
    </row>
    <row r="46" spans="2:11" ht="12" customHeight="1">
      <c r="B46" s="424"/>
      <c r="C46" s="427"/>
      <c r="D46" s="415"/>
      <c r="E46" s="415"/>
      <c r="F46" s="415"/>
      <c r="G46" s="415"/>
      <c r="H46" s="415"/>
      <c r="I46" s="415"/>
      <c r="J46" s="415"/>
      <c r="K46" s="416"/>
    </row>
    <row r="47" spans="2:11" ht="12" customHeight="1">
      <c r="B47" s="424"/>
      <c r="C47" s="427"/>
      <c r="D47" s="415"/>
      <c r="E47" s="415"/>
      <c r="F47" s="415"/>
      <c r="G47" s="415"/>
      <c r="H47" s="415"/>
      <c r="I47" s="415"/>
      <c r="J47" s="415"/>
      <c r="K47" s="416"/>
    </row>
    <row r="48" spans="2:11" ht="12" customHeight="1">
      <c r="B48" s="424"/>
      <c r="C48" s="427"/>
      <c r="D48" s="415"/>
      <c r="E48" s="415"/>
      <c r="F48" s="415"/>
      <c r="G48" s="415"/>
      <c r="H48" s="415"/>
      <c r="I48" s="415"/>
      <c r="J48" s="415"/>
      <c r="K48" s="416"/>
    </row>
    <row r="49" spans="2:11" ht="12" customHeight="1">
      <c r="B49" s="424"/>
      <c r="C49" s="427"/>
      <c r="D49" s="415"/>
      <c r="E49" s="415"/>
      <c r="F49" s="415"/>
      <c r="G49" s="415"/>
      <c r="H49" s="415"/>
      <c r="I49" s="415"/>
      <c r="J49" s="415"/>
      <c r="K49" s="416"/>
    </row>
    <row r="50" spans="2:11" ht="12" customHeight="1">
      <c r="B50" s="424"/>
      <c r="C50" s="427"/>
      <c r="D50" s="415"/>
      <c r="E50" s="415"/>
      <c r="F50" s="415"/>
      <c r="G50" s="415"/>
      <c r="H50" s="415"/>
      <c r="I50" s="415"/>
      <c r="J50" s="415"/>
      <c r="K50" s="416"/>
    </row>
    <row r="51" spans="2:11" ht="12" customHeight="1">
      <c r="B51" s="424"/>
      <c r="C51" s="427"/>
      <c r="D51" s="415"/>
      <c r="E51" s="415"/>
      <c r="F51" s="415"/>
      <c r="G51" s="415"/>
      <c r="H51" s="415"/>
      <c r="I51" s="415"/>
      <c r="J51" s="415"/>
      <c r="K51" s="416"/>
    </row>
    <row r="52" spans="2:11" ht="12" customHeight="1">
      <c r="B52" s="424"/>
      <c r="C52" s="427"/>
      <c r="D52" s="415"/>
      <c r="E52" s="415"/>
      <c r="F52" s="415"/>
      <c r="G52" s="415"/>
      <c r="H52" s="415"/>
      <c r="I52" s="415"/>
      <c r="J52" s="415"/>
      <c r="K52" s="416"/>
    </row>
    <row r="53" spans="2:11" ht="12" customHeight="1">
      <c r="B53" s="424"/>
      <c r="C53" s="427"/>
      <c r="D53" s="415"/>
      <c r="E53" s="415"/>
      <c r="F53" s="415"/>
      <c r="G53" s="415"/>
      <c r="H53" s="415"/>
      <c r="I53" s="415"/>
      <c r="J53" s="415"/>
      <c r="K53" s="416"/>
    </row>
    <row r="54" spans="2:11" ht="12" customHeight="1">
      <c r="B54" s="424"/>
      <c r="C54" s="427"/>
      <c r="D54" s="415"/>
      <c r="E54" s="415"/>
      <c r="F54" s="415"/>
      <c r="G54" s="415"/>
      <c r="H54" s="415"/>
      <c r="I54" s="415"/>
      <c r="J54" s="415"/>
      <c r="K54" s="416"/>
    </row>
    <row r="55" spans="2:11" ht="12" customHeight="1">
      <c r="B55" s="424"/>
      <c r="C55" s="427"/>
      <c r="D55" s="415"/>
      <c r="E55" s="415"/>
      <c r="F55" s="415"/>
      <c r="G55" s="415"/>
      <c r="H55" s="415"/>
      <c r="I55" s="415"/>
      <c r="J55" s="415"/>
      <c r="K55" s="416"/>
    </row>
    <row r="56" spans="2:11" ht="12" customHeight="1">
      <c r="B56" s="424"/>
      <c r="C56" s="427"/>
      <c r="D56" s="415"/>
      <c r="E56" s="415"/>
      <c r="F56" s="415"/>
      <c r="G56" s="415"/>
      <c r="H56" s="415"/>
      <c r="I56" s="415"/>
      <c r="J56" s="415"/>
      <c r="K56" s="416"/>
    </row>
    <row r="57" spans="2:11" ht="12" customHeight="1">
      <c r="B57" s="424"/>
      <c r="C57" s="427"/>
      <c r="D57" s="415"/>
      <c r="E57" s="415"/>
      <c r="F57" s="415"/>
      <c r="G57" s="415"/>
      <c r="H57" s="415"/>
      <c r="I57" s="415"/>
      <c r="J57" s="415"/>
      <c r="K57" s="416"/>
    </row>
    <row r="58" spans="2:11" ht="12" customHeight="1">
      <c r="B58" s="424"/>
      <c r="C58" s="427"/>
      <c r="D58" s="415"/>
      <c r="E58" s="415"/>
      <c r="F58" s="415"/>
      <c r="G58" s="415"/>
      <c r="H58" s="415"/>
      <c r="I58" s="415"/>
      <c r="J58" s="415"/>
      <c r="K58" s="416"/>
    </row>
    <row r="59" spans="2:11" ht="12" customHeight="1">
      <c r="B59" s="424"/>
      <c r="C59" s="427"/>
      <c r="D59" s="415"/>
      <c r="E59" s="415"/>
      <c r="F59" s="415"/>
      <c r="G59" s="415"/>
      <c r="H59" s="415"/>
      <c r="I59" s="415"/>
      <c r="J59" s="415"/>
      <c r="K59" s="416"/>
    </row>
    <row r="60" spans="2:11" ht="12" customHeight="1">
      <c r="B60" s="424"/>
      <c r="C60" s="427"/>
      <c r="D60" s="415"/>
      <c r="E60" s="415"/>
      <c r="F60" s="415"/>
      <c r="G60" s="415"/>
      <c r="H60" s="415"/>
      <c r="I60" s="415"/>
      <c r="J60" s="415"/>
      <c r="K60" s="416"/>
    </row>
    <row r="61" spans="2:11" ht="12" customHeight="1">
      <c r="B61" s="424"/>
      <c r="C61" s="427"/>
      <c r="D61" s="415"/>
      <c r="E61" s="415"/>
      <c r="F61" s="415"/>
      <c r="G61" s="415"/>
      <c r="H61" s="415"/>
      <c r="I61" s="415"/>
      <c r="J61" s="415"/>
      <c r="K61" s="416"/>
    </row>
    <row r="62" spans="2:11" ht="12" customHeight="1">
      <c r="B62" s="424"/>
      <c r="C62" s="427"/>
      <c r="D62" s="415"/>
      <c r="E62" s="415"/>
      <c r="F62" s="415"/>
      <c r="G62" s="415"/>
      <c r="H62" s="415"/>
      <c r="I62" s="415"/>
      <c r="J62" s="415"/>
      <c r="K62" s="416"/>
    </row>
    <row r="63" spans="2:11" ht="12" customHeight="1">
      <c r="B63" s="424"/>
      <c r="C63" s="427"/>
      <c r="D63" s="415"/>
      <c r="E63" s="415"/>
      <c r="F63" s="415"/>
      <c r="G63" s="415"/>
      <c r="H63" s="415"/>
      <c r="I63" s="415"/>
      <c r="J63" s="415"/>
      <c r="K63" s="416"/>
    </row>
    <row r="64" spans="2:11" ht="12" customHeight="1">
      <c r="B64" s="424"/>
      <c r="C64" s="427"/>
      <c r="D64" s="415"/>
      <c r="E64" s="415"/>
      <c r="F64" s="415"/>
      <c r="G64" s="415"/>
      <c r="H64" s="415"/>
      <c r="I64" s="415"/>
      <c r="J64" s="415"/>
      <c r="K64" s="416"/>
    </row>
    <row r="65" spans="2:11" ht="12" customHeight="1">
      <c r="B65" s="424"/>
      <c r="C65" s="427"/>
      <c r="D65" s="415"/>
      <c r="E65" s="415"/>
      <c r="F65" s="415"/>
      <c r="G65" s="415"/>
      <c r="H65" s="415"/>
      <c r="I65" s="415"/>
      <c r="J65" s="415"/>
      <c r="K65" s="416"/>
    </row>
    <row r="66" spans="2:11" ht="12" customHeight="1">
      <c r="B66" s="424"/>
      <c r="C66" s="427"/>
      <c r="D66" s="415"/>
      <c r="E66" s="415"/>
      <c r="F66" s="415"/>
      <c r="G66" s="415"/>
      <c r="H66" s="415"/>
      <c r="I66" s="415"/>
      <c r="J66" s="415"/>
      <c r="K66" s="416"/>
    </row>
    <row r="67" spans="2:11" ht="12" customHeight="1">
      <c r="B67" s="424"/>
      <c r="C67" s="427"/>
      <c r="D67" s="415"/>
      <c r="E67" s="415"/>
      <c r="F67" s="415"/>
      <c r="G67" s="415"/>
      <c r="H67" s="415"/>
      <c r="I67" s="415"/>
      <c r="J67" s="415"/>
      <c r="K67" s="416"/>
    </row>
    <row r="68" spans="2:11" ht="12" customHeight="1">
      <c r="B68" s="424"/>
      <c r="C68" s="427"/>
      <c r="D68" s="415"/>
      <c r="E68" s="415"/>
      <c r="F68" s="415"/>
      <c r="G68" s="415"/>
      <c r="H68" s="415"/>
      <c r="I68" s="415"/>
      <c r="J68" s="415"/>
      <c r="K68" s="416"/>
    </row>
    <row r="69" spans="2:11" ht="12" customHeight="1">
      <c r="B69" s="424"/>
      <c r="C69" s="427"/>
      <c r="D69" s="415"/>
      <c r="E69" s="415"/>
      <c r="F69" s="415"/>
      <c r="G69" s="415"/>
      <c r="H69" s="415"/>
      <c r="I69" s="415"/>
      <c r="J69" s="415"/>
      <c r="K69" s="416"/>
    </row>
    <row r="70" spans="2:11" ht="12" customHeight="1">
      <c r="B70" s="424"/>
      <c r="C70" s="427"/>
      <c r="D70" s="415"/>
      <c r="E70" s="415"/>
      <c r="F70" s="415"/>
      <c r="G70" s="415"/>
      <c r="H70" s="415"/>
      <c r="I70" s="415"/>
      <c r="J70" s="415"/>
      <c r="K70" s="416"/>
    </row>
    <row r="71" spans="2:11" ht="12" customHeight="1">
      <c r="B71" s="424"/>
      <c r="C71" s="427"/>
      <c r="D71" s="415"/>
      <c r="E71" s="415"/>
      <c r="F71" s="415"/>
      <c r="G71" s="415"/>
      <c r="H71" s="415"/>
      <c r="I71" s="415"/>
      <c r="J71" s="415"/>
      <c r="K71" s="416"/>
    </row>
    <row r="72" spans="2:11" ht="12" customHeight="1">
      <c r="B72" s="424"/>
      <c r="C72" s="427"/>
      <c r="D72" s="415"/>
      <c r="E72" s="415"/>
      <c r="F72" s="415"/>
      <c r="G72" s="415"/>
      <c r="H72" s="415"/>
      <c r="I72" s="415"/>
      <c r="J72" s="415"/>
      <c r="K72" s="416"/>
    </row>
    <row r="73" spans="2:11">
      <c r="B73" s="425"/>
      <c r="C73" s="428"/>
      <c r="D73" s="417"/>
      <c r="E73" s="417"/>
      <c r="F73" s="417"/>
      <c r="G73" s="417"/>
      <c r="H73" s="417"/>
      <c r="I73" s="417"/>
      <c r="J73" s="417"/>
      <c r="K73" s="418"/>
    </row>
  </sheetData>
  <sheetProtection algorithmName="SHA-512" hashValue="ycB2Kmqld3NIDWZX7svVdLRW23kBBXCavRA3IbFPcgHop3g9r4SjyEYmNMa92yVz+MmC4/MiTSyODPILPd75/g==" saltValue="yU4Xsn9n9WrhxeT3J3QGGw==" spinCount="100000" sheet="1" objects="1" scenarios="1"/>
  <protectedRanges>
    <protectedRange sqref="D8 C13:K73" name="invullen transformatie"/>
  </protectedRanges>
  <mergeCells count="3">
    <mergeCell ref="B12:B73"/>
    <mergeCell ref="C12:K12"/>
    <mergeCell ref="C13:K73"/>
  </mergeCells>
  <conditionalFormatting sqref="C13">
    <cfRule type="notContainsBlanks" dxfId="55" priority="8">
      <formula>LEN(TRIM(C13))&gt;0</formula>
    </cfRule>
  </conditionalFormatting>
  <conditionalFormatting sqref="D8">
    <cfRule type="containsBlanks" dxfId="54" priority="10">
      <formula>LEN(TRIM(D8))=0</formula>
    </cfRule>
    <cfRule type="notContainsBlanks" dxfId="53" priority="12">
      <formula>LEN(TRIM(D8))&gt;0</formula>
    </cfRule>
  </conditionalFormatting>
  <pageMargins left="0.7" right="0.7" top="0.75" bottom="0.75" header="0.3" footer="0.3"/>
  <pageSetup paperSize="9" orientation="portrait" r:id="rId1"/>
  <headerFooter>
    <oddFooter>&amp;L_x000D_&amp;1#&amp;"Calibri"&amp;10&amp;K000000 Intern gebruik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EEC72515BB8241B5664E93D3942CDA" ma:contentTypeVersion="19" ma:contentTypeDescription="Een nieuw document maken." ma:contentTypeScope="" ma:versionID="7148996390394e586394c066f247d20c">
  <xsd:schema xmlns:xsd="http://www.w3.org/2001/XMLSchema" xmlns:xs="http://www.w3.org/2001/XMLSchema" xmlns:p="http://schemas.microsoft.com/office/2006/metadata/properties" xmlns:ns2="1a0392a4-cbf0-4eda-975f-b99721b2e7c6" xmlns:ns3="50601971-daf9-4774-bb61-830070ca8fc0" targetNamespace="http://schemas.microsoft.com/office/2006/metadata/properties" ma:root="true" ma:fieldsID="4a00de9613f6ef90dd27a53cd472a969" ns2:_="" ns3:_="">
    <xsd:import namespace="1a0392a4-cbf0-4eda-975f-b99721b2e7c6"/>
    <xsd:import namespace="50601971-daf9-4774-bb61-830070ca8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tijdstip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0392a4-cbf0-4eda-975f-b99721b2e7c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Afbeeldingtags" ma:readOnly="false" ma:fieldId="{5cf76f15-5ced-4ddc-b409-7134ff3c332f}" ma:taxonomyMulti="true" ma:sspId="2a40f33b-2b73-414a-8952-2b44638b35f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tijdstip" ma:index="24" nillable="true" ma:displayName="Tijdstip" ma:format="DateTime" ma:internalName="tijdstip">
      <xsd:simpleType>
        <xsd:restriction base="dms:DateTim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01971-daf9-4774-bb61-830070ca8fc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f4b48d58-8378-49dd-81cd-88e4cbde7e6c}" ma:internalName="TaxCatchAll" ma:showField="CatchAllData" ma:web="50601971-daf9-4774-bb61-830070ca8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jdstip xmlns="1a0392a4-cbf0-4eda-975f-b99721b2e7c6" xsi:nil="true"/>
    <lcf76f155ced4ddcb4097134ff3c332f xmlns="1a0392a4-cbf0-4eda-975f-b99721b2e7c6">
      <Terms xmlns="http://schemas.microsoft.com/office/infopath/2007/PartnerControls"/>
    </lcf76f155ced4ddcb4097134ff3c332f>
    <TaxCatchAll xmlns="50601971-daf9-4774-bb61-830070ca8fc0" xsi:nil="true"/>
  </documentManagement>
</p:properties>
</file>

<file path=customXml/itemProps1.xml><?xml version="1.0" encoding="utf-8"?>
<ds:datastoreItem xmlns:ds="http://schemas.openxmlformats.org/officeDocument/2006/customXml" ds:itemID="{F8FFDE0B-9676-45C0-BEF3-AFCCF469F20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BFBF1D0-5E80-4071-B08D-EEA6A07543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0392a4-cbf0-4eda-975f-b99721b2e7c6"/>
    <ds:schemaRef ds:uri="50601971-daf9-4774-bb61-830070ca8fc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E22D47F-65F3-4FEA-8C36-785A3424B619}">
  <ds:schemaRefs>
    <ds:schemaRef ds:uri="http://purl.org/dc/elements/1.1/"/>
    <ds:schemaRef ds:uri="http://purl.org/dc/dcmitype/"/>
    <ds:schemaRef ds:uri="http://schemas.microsoft.com/office/2006/documentManagement/types"/>
    <ds:schemaRef ds:uri="http://schemas.microsoft.com/office/2006/metadata/properties"/>
    <ds:schemaRef ds:uri="50601971-daf9-4774-bb61-830070ca8fc0"/>
    <ds:schemaRef ds:uri="http://purl.org/dc/terms/"/>
    <ds:schemaRef ds:uri="1a0392a4-cbf0-4eda-975f-b99721b2e7c6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docMetadata/LabelInfo.xml><?xml version="1.0" encoding="utf-8"?>
<clbl:labelList xmlns:clbl="http://schemas.microsoft.com/office/2020/mipLabelMetadata">
  <clbl:label id="{acd88dc2-102c-473d-aa45-6161565a3617}" enabled="1" method="Privileged" siteId="{1321633e-f6b9-44e2-a44f-59b9d264ecb7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20</vt:i4>
      </vt:variant>
    </vt:vector>
  </HeadingPairs>
  <TitlesOfParts>
    <vt:vector size="20" baseType="lpstr">
      <vt:lpstr>HANDLEIDING</vt:lpstr>
      <vt:lpstr>START</vt:lpstr>
      <vt:lpstr>KENGETALLEN</vt:lpstr>
      <vt:lpstr>Sloop-nieuwbouw plannen</vt:lpstr>
      <vt:lpstr>Verduurzamingsplannen</vt:lpstr>
      <vt:lpstr>Maatwerk woningverbeteren</vt:lpstr>
      <vt:lpstr>Maatwerk transformatie</vt:lpstr>
      <vt:lpstr>Inponden</vt:lpstr>
      <vt:lpstr>Btw</vt:lpstr>
      <vt:lpstr>Secundaire activiteiten</vt:lpstr>
      <vt:lpstr>DASHBOARD</vt:lpstr>
      <vt:lpstr>Exploitatie part. verhuur nieuw</vt:lpstr>
      <vt:lpstr>Bron getallen sloop-nieuwbouw</vt:lpstr>
      <vt:lpstr>Kengetal sloop-nieuwbouw</vt:lpstr>
      <vt:lpstr>Bron getallen verduurzamen</vt:lpstr>
      <vt:lpstr>Kengetal verduurzamen</vt:lpstr>
      <vt:lpstr>Bron getallen woningverbeteren</vt:lpstr>
      <vt:lpstr>Kengetal woningverbeteren</vt:lpstr>
      <vt:lpstr>Type gebied</vt:lpstr>
      <vt:lpstr>Lijst van gemeenten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Marvin Thomasia</dc:creator>
  <cp:lastModifiedBy>Visser, Danny</cp:lastModifiedBy>
  <dcterms:created xsi:type="dcterms:W3CDTF">2022-11-23T16:15:01Z</dcterms:created>
  <dcterms:modified xsi:type="dcterms:W3CDTF">2024-06-03T13:06:08Z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0x01010052EEC72515BB8241B5664E93D3942CDA</vt:lpwstr>
  </property>
  <property fmtid="{D5CDD505-2E9C-101B-9397-08002B2CF9AE}" pid="3" name="MediaServiceImageTags">
    <vt:lpwstr/>
  </property>
</Properties>
</file>