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autoCompressPictures="0" defaultThemeVersion="166925"/>
  <mc:AlternateContent xmlns:mc="http://schemas.openxmlformats.org/markup-compatibility/2006">
    <mc:Choice Requires="x15">
      <x15ac:absPath xmlns:x15ac="http://schemas.microsoft.com/office/spreadsheetml/2010/11/ac" url="T:\rvo\Kluis_Beleidsadvisering_SDE_MEP\2024\Rekentool ISDE2024\Te testen conceptversies Rekentool ISDE 2024 voor website ná 1 april 2024\"/>
    </mc:Choice>
  </mc:AlternateContent>
  <xr:revisionPtr revIDLastSave="0" documentId="13_ncr:1_{EAC6C43E-82B5-4C51-AA9F-AD433A464874}" xr6:coauthVersionLast="47" xr6:coauthVersionMax="47" xr10:uidLastSave="{00000000-0000-0000-0000-000000000000}"/>
  <workbookProtection workbookAlgorithmName="SHA-512" workbookHashValue="tL8jLxmxM5ezaY77Za4/dCF3x6GjjCRyTUoxq43bGTL0grSFQtdgx3pRzaD7O7SWkKOoFO4tRGmuqqwbhsf0Kg==" workbookSaltValue="XjbxhHcqhmJ7sdeUYy3XxQ==" workbookSpinCount="100000" lockStructure="1"/>
  <bookViews>
    <workbookView xWindow="-120" yWindow="-120" windowWidth="29040" windowHeight="15840" xr2:uid="{06C84F82-475F-47D1-A093-DF452E609559}"/>
  </bookViews>
  <sheets>
    <sheet name="Keuzeblad maatregelen" sheetId="1" r:id="rId1"/>
    <sheet name="Afdrukoverzicht subsidiebedrag" sheetId="3" r:id="rId2"/>
    <sheet name="Hulpblad" sheetId="2" state="hidden" r:id="rId3"/>
  </sheets>
  <definedNames>
    <definedName name="_xlnm.Print_Area" localSheetId="1">'Afdrukoverzicht subsidiebedrag'!$A$1:$D$28</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7" i="2" l="1"/>
  <c r="E130" i="1"/>
  <c r="D293" i="2"/>
  <c r="F293" i="2" s="1"/>
  <c r="D251" i="2"/>
  <c r="F251" i="2" s="1"/>
  <c r="D272" i="2"/>
  <c r="F272" i="2" s="1"/>
  <c r="D232" i="2"/>
  <c r="F232" i="2" s="1"/>
  <c r="D211" i="2"/>
  <c r="F211" i="2" s="1"/>
  <c r="I211" i="2"/>
  <c r="D190" i="2"/>
  <c r="F190" i="2" s="1"/>
  <c r="B19" i="3"/>
  <c r="B8" i="3"/>
  <c r="H63" i="2"/>
  <c r="H59" i="2"/>
  <c r="H55" i="2"/>
  <c r="H51" i="2"/>
  <c r="H47" i="2"/>
  <c r="H43" i="2"/>
  <c r="I297" i="2"/>
  <c r="I296" i="2"/>
  <c r="I295" i="2"/>
  <c r="I294" i="2"/>
  <c r="I292" i="2"/>
  <c r="I289" i="2"/>
  <c r="I288" i="2"/>
  <c r="I287" i="2"/>
  <c r="I284" i="2"/>
  <c r="I283" i="2"/>
  <c r="I282" i="2"/>
  <c r="I281" i="2"/>
  <c r="I280" i="2"/>
  <c r="I279" i="2"/>
  <c r="I278" i="2"/>
  <c r="I277" i="2"/>
  <c r="I276" i="2"/>
  <c r="I275" i="2"/>
  <c r="I274" i="2"/>
  <c r="I273" i="2"/>
  <c r="I271" i="2"/>
  <c r="I268" i="2"/>
  <c r="I267" i="2"/>
  <c r="I266" i="2"/>
  <c r="I263" i="2"/>
  <c r="I262" i="2"/>
  <c r="I261" i="2"/>
  <c r="I260" i="2"/>
  <c r="I259" i="2"/>
  <c r="I258" i="2"/>
  <c r="I257" i="2"/>
  <c r="I256" i="2"/>
  <c r="I255" i="2"/>
  <c r="I254" i="2"/>
  <c r="I253" i="2"/>
  <c r="I252" i="2"/>
  <c r="I250" i="2"/>
  <c r="I247" i="2"/>
  <c r="I246" i="2"/>
  <c r="I245" i="2"/>
  <c r="I244" i="2"/>
  <c r="I243" i="2"/>
  <c r="I242" i="2"/>
  <c r="I241" i="2"/>
  <c r="I240" i="2"/>
  <c r="I239" i="2"/>
  <c r="I238" i="2"/>
  <c r="I237" i="2"/>
  <c r="I195" i="2"/>
  <c r="I196" i="2"/>
  <c r="I197" i="2"/>
  <c r="I198" i="2"/>
  <c r="I199" i="2"/>
  <c r="I200" i="2"/>
  <c r="I201" i="2"/>
  <c r="I202" i="2"/>
  <c r="I203" i="2"/>
  <c r="I204" i="2"/>
  <c r="I205" i="2"/>
  <c r="I206" i="2"/>
  <c r="I207" i="2"/>
  <c r="I208" i="2"/>
  <c r="I209" i="2"/>
  <c r="I210" i="2"/>
  <c r="I212" i="2"/>
  <c r="I213" i="2"/>
  <c r="I214" i="2"/>
  <c r="I215" i="2"/>
  <c r="I216" i="2"/>
  <c r="I217" i="2"/>
  <c r="I218" i="2"/>
  <c r="I219" i="2"/>
  <c r="I220" i="2"/>
  <c r="I221" i="2"/>
  <c r="I222" i="2"/>
  <c r="I223" i="2"/>
  <c r="I224" i="2"/>
  <c r="I225" i="2"/>
  <c r="I226" i="2"/>
  <c r="I227" i="2"/>
  <c r="I228" i="2"/>
  <c r="I229" i="2"/>
  <c r="I230" i="2"/>
  <c r="I231" i="2"/>
  <c r="I233" i="2"/>
  <c r="I234" i="2"/>
  <c r="I235" i="2"/>
  <c r="I236" i="2"/>
  <c r="I177" i="2"/>
  <c r="I178" i="2"/>
  <c r="I179" i="2"/>
  <c r="I180" i="2"/>
  <c r="I181" i="2"/>
  <c r="I182" i="2"/>
  <c r="I183" i="2"/>
  <c r="I184" i="2"/>
  <c r="I185" i="2"/>
  <c r="I186" i="2"/>
  <c r="I187" i="2"/>
  <c r="I188" i="2"/>
  <c r="I189" i="2"/>
  <c r="I191" i="2"/>
  <c r="I192" i="2"/>
  <c r="I193" i="2"/>
  <c r="I194" i="2"/>
  <c r="C134" i="2"/>
  <c r="C146" i="2"/>
  <c r="F227" i="2"/>
  <c r="D234" i="2"/>
  <c r="F234" i="2" s="1"/>
  <c r="D235" i="2"/>
  <c r="F235" i="2" s="1"/>
  <c r="D236" i="2"/>
  <c r="F236" i="2" s="1"/>
  <c r="F222" i="2"/>
  <c r="D213" i="2"/>
  <c r="F213" i="2" s="1"/>
  <c r="D214" i="2"/>
  <c r="F214" i="2" s="1"/>
  <c r="D215" i="2"/>
  <c r="F215" i="2" s="1"/>
  <c r="F206" i="2"/>
  <c r="F201" i="2"/>
  <c r="D192" i="2"/>
  <c r="F192" i="2" s="1"/>
  <c r="D193" i="2"/>
  <c r="F193" i="2" s="1"/>
  <c r="D194" i="2"/>
  <c r="F194" i="2" s="1"/>
  <c r="F185" i="2"/>
  <c r="F217" i="2"/>
  <c r="F196" i="2"/>
  <c r="F180" i="2"/>
  <c r="D295" i="2"/>
  <c r="F295" i="2" s="1"/>
  <c r="D296" i="2"/>
  <c r="F296" i="2" s="1"/>
  <c r="D297" i="2"/>
  <c r="F297" i="2" s="1"/>
  <c r="F291" i="2"/>
  <c r="F290" i="2"/>
  <c r="F286" i="2"/>
  <c r="F285" i="2"/>
  <c r="F278" i="2"/>
  <c r="D274" i="2"/>
  <c r="F274" i="2" s="1"/>
  <c r="D275" i="2"/>
  <c r="F275" i="2" s="1"/>
  <c r="D276" i="2"/>
  <c r="F276" i="2" s="1"/>
  <c r="F270" i="2"/>
  <c r="F269" i="2"/>
  <c r="F265" i="2"/>
  <c r="F264" i="2"/>
  <c r="D253" i="2"/>
  <c r="F253" i="2" s="1"/>
  <c r="D254" i="2"/>
  <c r="F254" i="2" s="1"/>
  <c r="D255" i="2"/>
  <c r="F255" i="2" s="1"/>
  <c r="F249" i="2"/>
  <c r="F248" i="2"/>
  <c r="F257" i="2"/>
  <c r="F241" i="2"/>
  <c r="C114" i="2"/>
  <c r="D191" i="2"/>
  <c r="F191" i="2" s="1"/>
  <c r="D294" i="2"/>
  <c r="D273" i="2"/>
  <c r="D252" i="2"/>
  <c r="D233" i="2"/>
  <c r="F233" i="2" s="1"/>
  <c r="D212" i="2"/>
  <c r="F212" i="2" s="1"/>
  <c r="F294" i="2"/>
  <c r="F273" i="2"/>
  <c r="F252" i="2"/>
  <c r="F289" i="2"/>
  <c r="F288" i="2"/>
  <c r="F284" i="2"/>
  <c r="F283" i="2"/>
  <c r="F281" i="2"/>
  <c r="F280" i="2"/>
  <c r="F279" i="2"/>
  <c r="F268" i="2"/>
  <c r="F267" i="2"/>
  <c r="F263" i="2"/>
  <c r="F262" i="2"/>
  <c r="F260" i="2"/>
  <c r="F259" i="2"/>
  <c r="F258" i="2"/>
  <c r="F247" i="2"/>
  <c r="F246" i="2"/>
  <c r="F244" i="2"/>
  <c r="F243" i="2"/>
  <c r="F242" i="2"/>
  <c r="F29" i="2"/>
  <c r="B79" i="2"/>
  <c r="B80" i="2"/>
  <c r="B78" i="2"/>
  <c r="F24" i="2"/>
  <c r="F19" i="2"/>
  <c r="F14" i="2"/>
  <c r="B76" i="2"/>
  <c r="E18" i="1"/>
  <c r="K51" i="2" l="1"/>
  <c r="D78" i="2"/>
  <c r="K55" i="2"/>
  <c r="D79" i="2"/>
  <c r="K59" i="2"/>
  <c r="D80" i="2"/>
  <c r="K63" i="2"/>
  <c r="D81" i="2"/>
  <c r="K47" i="2"/>
  <c r="D77" i="2"/>
  <c r="K43" i="2"/>
  <c r="D76" i="2"/>
  <c r="K28" i="2"/>
  <c r="K27" i="2"/>
  <c r="K26" i="2"/>
  <c r="K22" i="2"/>
  <c r="K21" i="2"/>
  <c r="K17" i="2"/>
  <c r="K16" i="2"/>
  <c r="K13" i="2"/>
  <c r="K12" i="2"/>
  <c r="K11" i="2"/>
  <c r="C154" i="2"/>
  <c r="E152" i="2" l="1"/>
  <c r="E153" i="2"/>
  <c r="K103" i="1"/>
  <c r="G68" i="1"/>
  <c r="C40" i="2"/>
  <c r="B47" i="2" s="1"/>
  <c r="A74" i="1" s="1"/>
  <c r="B99" i="2"/>
  <c r="B95" i="2"/>
  <c r="B91" i="2"/>
  <c r="C128" i="2"/>
  <c r="A22" i="3" s="1"/>
  <c r="D140" i="2"/>
  <c r="D139" i="2"/>
  <c r="C141" i="2"/>
  <c r="C148" i="2" s="1"/>
  <c r="B28" i="2"/>
  <c r="B27" i="2"/>
  <c r="B22" i="2"/>
  <c r="B17" i="2"/>
  <c r="C18" i="2" s="1"/>
  <c r="Q34" i="1" s="1"/>
  <c r="B13" i="2"/>
  <c r="C14" i="2" s="1"/>
  <c r="Q28" i="1" s="1"/>
  <c r="B12" i="2"/>
  <c r="A125" i="1"/>
  <c r="C136" i="2" l="1"/>
  <c r="N12" i="2"/>
  <c r="G34" i="1"/>
  <c r="B43" i="2"/>
  <c r="A68" i="1" s="1"/>
  <c r="B68" i="2"/>
  <c r="B69" i="2"/>
  <c r="C29" i="2"/>
  <c r="Q46" i="1" s="1"/>
  <c r="H14" i="2"/>
  <c r="G28" i="1"/>
  <c r="C23" i="2"/>
  <c r="Q40" i="1" s="1"/>
  <c r="F154" i="2"/>
  <c r="B98" i="2"/>
  <c r="B97" i="2"/>
  <c r="B96" i="2"/>
  <c r="B94" i="2"/>
  <c r="B93" i="2"/>
  <c r="B92" i="2"/>
  <c r="B90" i="2"/>
  <c r="B89" i="2"/>
  <c r="F182" i="2"/>
  <c r="F183" i="2"/>
  <c r="F186" i="2"/>
  <c r="F187" i="2"/>
  <c r="F188" i="2"/>
  <c r="F197" i="2"/>
  <c r="F198" i="2"/>
  <c r="F199" i="2"/>
  <c r="F202" i="2"/>
  <c r="F203" i="2"/>
  <c r="F204" i="2"/>
  <c r="F207" i="2"/>
  <c r="F208" i="2"/>
  <c r="F209" i="2"/>
  <c r="F218" i="2"/>
  <c r="F219" i="2"/>
  <c r="F220" i="2"/>
  <c r="F223" i="2"/>
  <c r="F224" i="2"/>
  <c r="F225" i="2"/>
  <c r="F228" i="2"/>
  <c r="F229" i="2"/>
  <c r="F230" i="2"/>
  <c r="F181" i="2"/>
  <c r="O137" i="1" l="1"/>
  <c r="C22" i="3" s="1"/>
  <c r="O149" i="1"/>
  <c r="C25" i="3" s="1"/>
  <c r="N13" i="2"/>
  <c r="N17" i="2"/>
  <c r="I56" i="1" s="1"/>
  <c r="N21" i="2"/>
  <c r="N22" i="2"/>
  <c r="I58" i="1" s="1"/>
  <c r="H152" i="2"/>
  <c r="H153" i="2"/>
  <c r="D47" i="2"/>
  <c r="D43" i="2"/>
  <c r="Q68" i="1" s="1"/>
  <c r="G46" i="1"/>
  <c r="C100" i="2"/>
  <c r="G40" i="1"/>
  <c r="Q74" i="1" l="1"/>
  <c r="B63" i="2"/>
  <c r="B59" i="2"/>
  <c r="B55" i="2"/>
  <c r="B51" i="2"/>
  <c r="A19" i="3"/>
  <c r="A156" i="1"/>
  <c r="A158" i="1" s="1"/>
  <c r="E158" i="1"/>
  <c r="A162" i="1"/>
  <c r="Q137" i="1"/>
  <c r="B83" i="2"/>
  <c r="B84" i="2"/>
  <c r="Q149" i="1"/>
  <c r="I54" i="1"/>
  <c r="I154" i="2"/>
  <c r="A166" i="1" s="1"/>
  <c r="A132" i="1"/>
  <c r="C120" i="2"/>
  <c r="C119" i="2"/>
  <c r="B107" i="2"/>
  <c r="E162" i="1" l="1"/>
  <c r="E132" i="1"/>
  <c r="C108" i="2"/>
  <c r="N28" i="2"/>
  <c r="N27" i="2"/>
  <c r="I60" i="1" s="1"/>
  <c r="K153" i="2"/>
  <c r="K152" i="2"/>
  <c r="C116" i="2" l="1"/>
  <c r="O110" i="1" s="1"/>
  <c r="L154" i="2"/>
  <c r="O168" i="1" l="1"/>
  <c r="C26" i="3" s="1"/>
  <c r="E166" i="1"/>
  <c r="A86" i="1"/>
  <c r="A80" i="1"/>
  <c r="B72" i="2"/>
  <c r="A98" i="1"/>
  <c r="A92" i="1"/>
  <c r="B73" i="2"/>
  <c r="Q110" i="1" l="1"/>
  <c r="C19" i="3"/>
  <c r="B82" i="2"/>
  <c r="D63" i="2"/>
  <c r="Q98" i="1" s="1"/>
  <c r="D55" i="2"/>
  <c r="Q86" i="1" s="1"/>
  <c r="D51" i="2"/>
  <c r="Q80" i="1" s="1"/>
  <c r="D59" i="2"/>
  <c r="Q92" i="1" s="1"/>
  <c r="D82" i="2" l="1"/>
  <c r="B81" i="2" s="1"/>
  <c r="C85" i="2"/>
  <c r="L12" i="2"/>
  <c r="M12" i="2"/>
  <c r="L27" i="2" l="1"/>
  <c r="M27" i="2" s="1"/>
  <c r="L28" i="2"/>
  <c r="M28" i="2" s="1"/>
  <c r="L22" i="2"/>
  <c r="M22" i="2" s="1"/>
  <c r="L17" i="2"/>
  <c r="M17" i="2" s="1"/>
  <c r="L13" i="2"/>
  <c r="M13" i="2" s="1"/>
  <c r="L11" i="2"/>
  <c r="M11" i="2" s="1"/>
  <c r="I28" i="1" s="1"/>
  <c r="M28" i="1" s="1"/>
  <c r="L47" i="2"/>
  <c r="M47" i="2" s="1"/>
  <c r="I74" i="1" s="1"/>
  <c r="L63" i="2"/>
  <c r="M63" i="2" s="1"/>
  <c r="I98" i="1" s="1"/>
  <c r="L55" i="2"/>
  <c r="M55" i="2" s="1"/>
  <c r="I86" i="1" s="1"/>
  <c r="L16" i="2"/>
  <c r="M16" i="2" s="1"/>
  <c r="I34" i="1" s="1"/>
  <c r="L21" i="2"/>
  <c r="M21" i="2" s="1"/>
  <c r="I40" i="1" s="1"/>
  <c r="L26" i="2"/>
  <c r="M26" i="2" s="1"/>
  <c r="I46" i="1" s="1"/>
  <c r="L43" i="2"/>
  <c r="M43" i="2" s="1"/>
  <c r="I68" i="1" s="1"/>
  <c r="L51" i="2"/>
  <c r="M51" i="2" s="1"/>
  <c r="I80" i="1" s="1"/>
  <c r="L59" i="2"/>
  <c r="M59" i="2" s="1"/>
  <c r="I92" i="1" s="1"/>
  <c r="M46" i="1" l="1"/>
  <c r="O60" i="1" s="1"/>
  <c r="O46" i="1"/>
  <c r="M40" i="1"/>
  <c r="O40" i="1"/>
  <c r="M34" i="1"/>
  <c r="O34" i="1"/>
  <c r="M74" i="1"/>
  <c r="O74" i="1"/>
  <c r="C12" i="3" s="1"/>
  <c r="B5" i="3"/>
  <c r="O54" i="1"/>
  <c r="O28" i="1"/>
  <c r="Q54" i="1" l="1"/>
  <c r="C5" i="3"/>
  <c r="B12" i="3"/>
  <c r="M98" i="1"/>
  <c r="Q56" i="1"/>
  <c r="O56" i="1"/>
  <c r="B6" i="3"/>
  <c r="Q58" i="1"/>
  <c r="O58" i="1"/>
  <c r="C7" i="3" s="1"/>
  <c r="B7" i="3"/>
  <c r="Q60" i="1"/>
  <c r="C8" i="3"/>
  <c r="C6" i="3" l="1"/>
  <c r="B16" i="3"/>
  <c r="O98" i="1"/>
  <c r="C16" i="3" s="1"/>
  <c r="M86" i="1"/>
  <c r="B14" i="3" l="1"/>
  <c r="O86" i="1"/>
  <c r="C14" i="3" s="1"/>
  <c r="M68" i="1"/>
  <c r="B11" i="3" l="1"/>
  <c r="M92" i="1"/>
  <c r="M80" i="1"/>
  <c r="O68" i="1"/>
  <c r="C11" i="3" l="1"/>
  <c r="B13" i="3"/>
  <c r="O80" i="1"/>
  <c r="M103" i="1"/>
  <c r="Q103" i="1" s="1"/>
  <c r="B15" i="3"/>
  <c r="O92" i="1"/>
  <c r="C15" i="3" s="1"/>
  <c r="C13" i="3" l="1"/>
  <c r="O105" i="1"/>
  <c r="O172" i="1" s="1"/>
  <c r="C2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RVO</author>
  </authors>
  <commentList>
    <comment ref="M103" authorId="0" shapeId="0" xr:uid="{107DA202-5AD8-496D-AFF7-164D7EE92795}">
      <text>
        <r>
          <rPr>
            <b/>
            <sz val="9"/>
            <color indexed="81"/>
            <rFont val="Tahoma"/>
            <family val="2"/>
          </rPr>
          <t>Toelichting:</t>
        </r>
        <r>
          <rPr>
            <sz val="9"/>
            <color indexed="81"/>
            <rFont val="Tahoma"/>
            <family val="2"/>
          </rPr>
          <t xml:space="preserve">
Het minimum subsidiabele oppervlak bedraagt 8 m².Bij een kleiner oppervlak komen isolerend glas, panelen en deuren niet in aanmerking voor subsidie. 
Bij overschrijding van het maximum van 45 m² aan glas, paneel en deuroppervlak wordt per maatregel het aantal m² afgetopt. Aan de techniek met het hoogste bedrag per m² worden eerst de subsidiable m² toegekend. Daarna aan de techniek met het op één na hoogste bedrag per m², etc. Tot het maximum van 45 m² is bereikt. De volgorde daarbij is:
Triple glas U ≤ 0,7 W/m²K
Isolerende deur Ud ≤ 1,0 W/m²K
Panelen in kozijn U ≤ 0,7 W/m²K
HR++ glas U ≤ 1,2 W/m²K
Isolerende deur Ud ≤  1,5 W/m²K
Panelen in kozijn U ≤ 1,2 W/m²K
</t>
        </r>
      </text>
    </comment>
  </commentList>
</comments>
</file>

<file path=xl/sharedStrings.xml><?xml version="1.0" encoding="utf-8"?>
<sst xmlns="http://schemas.openxmlformats.org/spreadsheetml/2006/main" count="555" uniqueCount="317">
  <si>
    <t xml:space="preserve">Warmtepomp </t>
  </si>
  <si>
    <t>Aansluiting op het warmtenet</t>
  </si>
  <si>
    <t>Isolatiemaatregelen en/of glas-, kozijnpanelen- of deurisolatie</t>
  </si>
  <si>
    <t>Keuzelijst isolatiemaatregelen</t>
  </si>
  <si>
    <t>Dakisolatie</t>
  </si>
  <si>
    <t>Gevelisolatie</t>
  </si>
  <si>
    <t>Spouwmuurisolatie</t>
  </si>
  <si>
    <t>Glasisolatie</t>
  </si>
  <si>
    <t>Vloerisolatie</t>
  </si>
  <si>
    <t>Zonneboiler</t>
  </si>
  <si>
    <t>Categorieën</t>
  </si>
  <si>
    <t>Bedrag</t>
  </si>
  <si>
    <t>Lucht-water &lt; 1 kW</t>
  </si>
  <si>
    <t>Grond-water &lt; 1 kW</t>
  </si>
  <si>
    <t>Grond-water ≥ 1 kW en &lt; 10 kW</t>
  </si>
  <si>
    <t>Water-water &lt; 1 kW</t>
  </si>
  <si>
    <t>Water-water ≥ 1 kW en &lt; 10 kW</t>
  </si>
  <si>
    <t>Isolerende maatregel</t>
  </si>
  <si>
    <t>Zonneboilercombi</t>
  </si>
  <si>
    <r>
      <t xml:space="preserve">Zonneboiler </t>
    </r>
    <r>
      <rPr>
        <sz val="11"/>
        <color theme="1"/>
        <rFont val="Calibri"/>
        <family val="2"/>
      </rPr>
      <t>≤ 5 m</t>
    </r>
    <r>
      <rPr>
        <vertAlign val="superscript"/>
        <sz val="11"/>
        <color theme="1"/>
        <rFont val="Calibri"/>
        <family val="2"/>
      </rPr>
      <t>2</t>
    </r>
  </si>
  <si>
    <r>
      <t xml:space="preserve">Zonneboiler &gt; 5 en </t>
    </r>
    <r>
      <rPr>
        <sz val="11"/>
        <color theme="1"/>
        <rFont val="Calibri"/>
        <family val="2"/>
      </rPr>
      <t>≤ 10 m</t>
    </r>
    <r>
      <rPr>
        <vertAlign val="superscript"/>
        <sz val="11"/>
        <color theme="1"/>
        <rFont val="Calibri"/>
        <family val="2"/>
      </rPr>
      <t>2</t>
    </r>
  </si>
  <si>
    <r>
      <t xml:space="preserve">Zonneboilercombi </t>
    </r>
    <r>
      <rPr>
        <sz val="11"/>
        <color theme="1"/>
        <rFont val="Calibri"/>
        <family val="2"/>
      </rPr>
      <t>≤ 5 m</t>
    </r>
    <r>
      <rPr>
        <vertAlign val="superscript"/>
        <sz val="11"/>
        <color theme="1"/>
        <rFont val="Calibri"/>
        <family val="2"/>
      </rPr>
      <t>2</t>
    </r>
  </si>
  <si>
    <r>
      <t xml:space="preserve">Zonneboilercombi &gt; 5 en </t>
    </r>
    <r>
      <rPr>
        <sz val="11"/>
        <color theme="1"/>
        <rFont val="Calibri"/>
        <family val="2"/>
      </rPr>
      <t>≤ 10 m</t>
    </r>
    <r>
      <rPr>
        <vertAlign val="superscript"/>
        <sz val="11"/>
        <color theme="1"/>
        <rFont val="Calibri"/>
        <family val="2"/>
      </rPr>
      <t>2</t>
    </r>
  </si>
  <si>
    <t>Aansluiting op warmtenet</t>
  </si>
  <si>
    <t>boven 10 kW</t>
  </si>
  <si>
    <t>boven 1 kW</t>
  </si>
  <si>
    <r>
      <t>Minimum m</t>
    </r>
    <r>
      <rPr>
        <b/>
        <vertAlign val="superscript"/>
        <sz val="11"/>
        <color theme="1"/>
        <rFont val="Calibri"/>
        <family val="2"/>
        <scheme val="minor"/>
      </rPr>
      <t>2</t>
    </r>
    <r>
      <rPr>
        <b/>
        <sz val="11"/>
        <color theme="1"/>
        <rFont val="Calibri"/>
        <family val="2"/>
        <scheme val="minor"/>
      </rPr>
      <t xml:space="preserve">  (bij glas, deur, panelen per combi)</t>
    </r>
  </si>
  <si>
    <r>
      <t>Maximum m</t>
    </r>
    <r>
      <rPr>
        <b/>
        <vertAlign val="superscript"/>
        <sz val="11"/>
        <color theme="1"/>
        <rFont val="Calibri"/>
        <family val="2"/>
        <scheme val="minor"/>
      </rPr>
      <t>2</t>
    </r>
    <r>
      <rPr>
        <b/>
        <sz val="11"/>
        <color theme="1"/>
        <rFont val="Calibri"/>
        <family val="2"/>
        <scheme val="minor"/>
      </rPr>
      <t xml:space="preserve">  (bij glas, deur, panelen per combi)</t>
    </r>
  </si>
  <si>
    <t>Indicatief, werkelijk bijdrage volgens apparatenlijst</t>
  </si>
  <si>
    <t>Kozijnpanelen en isolerende deur alleen in combinatie met HR++ of triple glas</t>
  </si>
  <si>
    <r>
      <t xml:space="preserve">Dakisolatie, Rd </t>
    </r>
    <r>
      <rPr>
        <sz val="11"/>
        <color theme="1"/>
        <rFont val="Calibri"/>
        <family val="2"/>
      </rPr>
      <t xml:space="preserve">≥ 3,5 </t>
    </r>
    <r>
      <rPr>
        <sz val="11"/>
        <color theme="1"/>
        <rFont val="Calibri"/>
        <family val="2"/>
        <scheme val="minor"/>
      </rPr>
      <t>m</t>
    </r>
    <r>
      <rPr>
        <vertAlign val="superscript"/>
        <sz val="11"/>
        <color theme="1"/>
        <rFont val="Calibri"/>
        <family val="2"/>
        <scheme val="minor"/>
      </rPr>
      <t>2</t>
    </r>
    <r>
      <rPr>
        <sz val="11"/>
        <color theme="1"/>
        <rFont val="Calibri"/>
        <family val="2"/>
        <scheme val="minor"/>
      </rPr>
      <t xml:space="preserve"> K/W</t>
    </r>
  </si>
  <si>
    <r>
      <t>Zolder-of vlieringisolatie, Rd ≥ 3,5 m</t>
    </r>
    <r>
      <rPr>
        <vertAlign val="superscript"/>
        <sz val="11"/>
        <color theme="1"/>
        <rFont val="Calibri"/>
        <family val="2"/>
        <scheme val="minor"/>
      </rPr>
      <t>2</t>
    </r>
    <r>
      <rPr>
        <sz val="11"/>
        <color theme="1"/>
        <rFont val="Calibri"/>
        <family val="2"/>
        <scheme val="minor"/>
      </rPr>
      <t xml:space="preserve"> K/W</t>
    </r>
  </si>
  <si>
    <r>
      <t>Binnen-of buitengevelisolatie, Rd ≥ 3,5m</t>
    </r>
    <r>
      <rPr>
        <vertAlign val="superscript"/>
        <sz val="11"/>
        <color theme="1"/>
        <rFont val="Calibri"/>
        <family val="2"/>
        <scheme val="minor"/>
      </rPr>
      <t>2</t>
    </r>
    <r>
      <rPr>
        <sz val="11"/>
        <color theme="1"/>
        <rFont val="Calibri"/>
        <family val="2"/>
        <scheme val="minor"/>
      </rPr>
      <t xml:space="preserve"> K/W</t>
    </r>
  </si>
  <si>
    <r>
      <t>Spouwmuurisolatie, Rd ≥ 1,1 m</t>
    </r>
    <r>
      <rPr>
        <vertAlign val="superscript"/>
        <sz val="11"/>
        <color theme="1"/>
        <rFont val="Calibri"/>
        <family val="2"/>
        <scheme val="minor"/>
      </rPr>
      <t>2</t>
    </r>
    <r>
      <rPr>
        <sz val="11"/>
        <color theme="1"/>
        <rFont val="Calibri"/>
        <family val="2"/>
        <scheme val="minor"/>
      </rPr>
      <t xml:space="preserve"> K/W</t>
    </r>
  </si>
  <si>
    <r>
      <t>Vloerisolatie, Rd ≥ 3,5m</t>
    </r>
    <r>
      <rPr>
        <vertAlign val="superscript"/>
        <sz val="11"/>
        <color theme="1"/>
        <rFont val="Calibri"/>
        <family val="2"/>
        <scheme val="minor"/>
      </rPr>
      <t>2</t>
    </r>
    <r>
      <rPr>
        <sz val="11"/>
        <color theme="1"/>
        <rFont val="Calibri"/>
        <family val="2"/>
        <scheme val="minor"/>
      </rPr>
      <t xml:space="preserve"> K/W</t>
    </r>
  </si>
  <si>
    <r>
      <t>Bodemisolatie, Rd ≥ 3,5m</t>
    </r>
    <r>
      <rPr>
        <vertAlign val="superscript"/>
        <sz val="11"/>
        <color theme="1"/>
        <rFont val="Calibri"/>
        <family val="2"/>
        <scheme val="minor"/>
      </rPr>
      <t>2</t>
    </r>
    <r>
      <rPr>
        <sz val="11"/>
        <color theme="1"/>
        <rFont val="Calibri"/>
        <family val="2"/>
        <scheme val="minor"/>
      </rPr>
      <t xml:space="preserve"> K/W</t>
    </r>
  </si>
  <si>
    <r>
      <t xml:space="preserve">HR++ glas, U </t>
    </r>
    <r>
      <rPr>
        <sz val="11"/>
        <color theme="1"/>
        <rFont val="Calibri"/>
        <family val="2"/>
      </rPr>
      <t xml:space="preserve">≤ 1,2 </t>
    </r>
    <r>
      <rPr>
        <sz val="11"/>
        <color theme="1"/>
        <rFont val="Calibri"/>
        <family val="2"/>
        <scheme val="minor"/>
      </rPr>
      <t>W/m</t>
    </r>
    <r>
      <rPr>
        <vertAlign val="superscript"/>
        <sz val="11"/>
        <color theme="1"/>
        <rFont val="Calibri"/>
        <family val="2"/>
        <scheme val="minor"/>
      </rPr>
      <t>2</t>
    </r>
    <r>
      <rPr>
        <sz val="11"/>
        <color theme="1"/>
        <rFont val="Calibri"/>
        <family val="2"/>
        <scheme val="minor"/>
      </rPr>
      <t>K</t>
    </r>
  </si>
  <si>
    <r>
      <t>Panelen in kozijn, U ≤ 1,2 W/m</t>
    </r>
    <r>
      <rPr>
        <vertAlign val="superscript"/>
        <sz val="11"/>
        <color theme="1"/>
        <rFont val="Calibri"/>
        <family val="2"/>
        <scheme val="minor"/>
      </rPr>
      <t>2</t>
    </r>
    <r>
      <rPr>
        <sz val="11"/>
        <color theme="1"/>
        <rFont val="Calibri"/>
        <family val="2"/>
        <scheme val="minor"/>
      </rPr>
      <t>K</t>
    </r>
  </si>
  <si>
    <r>
      <t>Triple glas, U ≤ 0,7 W/m</t>
    </r>
    <r>
      <rPr>
        <vertAlign val="superscript"/>
        <sz val="11"/>
        <color theme="1"/>
        <rFont val="Calibri"/>
        <family val="2"/>
        <scheme val="minor"/>
      </rPr>
      <t>2</t>
    </r>
    <r>
      <rPr>
        <sz val="11"/>
        <color theme="1"/>
        <rFont val="Calibri"/>
        <family val="2"/>
        <scheme val="minor"/>
      </rPr>
      <t>K</t>
    </r>
  </si>
  <si>
    <r>
      <t>Panelen in kozijn, U ≤ 0,7 W/m</t>
    </r>
    <r>
      <rPr>
        <vertAlign val="superscript"/>
        <sz val="11"/>
        <color theme="1"/>
        <rFont val="Calibri"/>
        <family val="2"/>
        <scheme val="minor"/>
      </rPr>
      <t>2</t>
    </r>
    <r>
      <rPr>
        <sz val="11"/>
        <color theme="1"/>
        <rFont val="Calibri"/>
        <family val="2"/>
        <scheme val="minor"/>
      </rPr>
      <t>K</t>
    </r>
  </si>
  <si>
    <r>
      <t>Isolerende deur, Ud ≤ 1,0 W/m</t>
    </r>
    <r>
      <rPr>
        <vertAlign val="superscript"/>
        <sz val="11"/>
        <color theme="1"/>
        <rFont val="Calibri"/>
        <family val="2"/>
        <scheme val="minor"/>
      </rPr>
      <t>2</t>
    </r>
    <r>
      <rPr>
        <sz val="11"/>
        <color theme="1"/>
        <rFont val="Calibri"/>
        <family val="2"/>
        <scheme val="minor"/>
      </rPr>
      <t>K</t>
    </r>
  </si>
  <si>
    <r>
      <t>Isolerende deur, Ud ≤ 1,5 W/m</t>
    </r>
    <r>
      <rPr>
        <vertAlign val="superscript"/>
        <sz val="11"/>
        <color theme="1"/>
        <rFont val="Calibri"/>
        <family val="2"/>
        <scheme val="minor"/>
      </rPr>
      <t>2</t>
    </r>
    <r>
      <rPr>
        <sz val="11"/>
        <color theme="1"/>
        <rFont val="Calibri"/>
        <family val="2"/>
        <scheme val="minor"/>
      </rPr>
      <t>K</t>
    </r>
  </si>
  <si>
    <t xml:space="preserve">Glas-, kozijnpanelen- of isolerende deur	</t>
  </si>
  <si>
    <t>Keuzelijst warmtepomp</t>
  </si>
  <si>
    <t>Geen warmtepomp</t>
  </si>
  <si>
    <t>Kies soort warmtepomp:</t>
  </si>
  <si>
    <t>Kies soort zonneboiler:</t>
  </si>
  <si>
    <t>Keuzelijst zonneboiler</t>
  </si>
  <si>
    <t>Geen zonneboiler</t>
  </si>
  <si>
    <t>Keuzelijst aansluiting op een warmtenet</t>
  </si>
  <si>
    <t>Hulpcel voor invoerbegrenzing invulveld warmtepompvermogen en berekening subsidiebedrag warmtepomp</t>
  </si>
  <si>
    <t>Kies dakisolatie:</t>
  </si>
  <si>
    <t>Kies gevelisolatie:</t>
  </si>
  <si>
    <t>Kies spouwmuurisolatie:</t>
  </si>
  <si>
    <t>Kies vloerisolatie:</t>
  </si>
  <si>
    <t>Geen dakisolatie</t>
  </si>
  <si>
    <t>Geen gevelisolatie</t>
  </si>
  <si>
    <t>Geen spouwmuurisolatie</t>
  </si>
  <si>
    <t>Geen vloerisolatie</t>
  </si>
  <si>
    <t>Geen glasisolatie</t>
  </si>
  <si>
    <t>Geen elektrische kookvoorziening</t>
  </si>
  <si>
    <t>Elektrische kookvoorziening</t>
  </si>
  <si>
    <t>Elektrische kookvoorziening alleen in combinatie met aansluiting op warmtenet</t>
  </si>
  <si>
    <t>Niet van toepassing</t>
  </si>
  <si>
    <r>
      <t>Subsidiebedrag elektrische kookvoorziening (</t>
    </r>
    <r>
      <rPr>
        <sz val="11"/>
        <rFont val="Calibri"/>
        <family val="2"/>
      </rPr>
      <t>€)</t>
    </r>
    <r>
      <rPr>
        <sz val="11"/>
        <rFont val="Calibri"/>
        <family val="2"/>
        <scheme val="minor"/>
      </rPr>
      <t>:</t>
    </r>
  </si>
  <si>
    <t>Keuzelijst energie-efficiency klasse</t>
  </si>
  <si>
    <t>Toeslag euro/kW vermogen</t>
  </si>
  <si>
    <t>Ondergrens vermogen voor toeslag euro/kW</t>
  </si>
  <si>
    <t>Bovengrens vermogen voor toeslag euro/kW</t>
  </si>
  <si>
    <t>Ondergrens</t>
  </si>
  <si>
    <t>Bovengrens</t>
  </si>
  <si>
    <t>Overzicht categorieën en kentallen</t>
  </si>
  <si>
    <t>Keuzelijsten en vervolglijsten</t>
  </si>
  <si>
    <t>Keuzelijst dakisolatie</t>
  </si>
  <si>
    <t>keuzelijst gevelisolatie</t>
  </si>
  <si>
    <t>keuzelijst spouwmuurisolatie</t>
  </si>
  <si>
    <t>Keuzelijst vloerisolatie</t>
  </si>
  <si>
    <t>Minimum subsidiabel oppervlak</t>
  </si>
  <si>
    <t>Maximum subsidiabel oppervlak</t>
  </si>
  <si>
    <t>Datum uitvoering isolatiemaatregel</t>
  </si>
  <si>
    <t>Keuzelijst datum uitvoering maatregel</t>
  </si>
  <si>
    <t>HR++ glas, U ≤ 1,2 W/m2K en/of Triple glas, U ≤ 0,7 W/m2K</t>
  </si>
  <si>
    <t>Tabel bij keuze HR++ glas, U ≤ 1,2 W/m2K en/of Triple glas, U ≤ 0,7 W/m2K</t>
  </si>
  <si>
    <t>Antwoord op vraag uitvoeringsdatum</t>
  </si>
  <si>
    <t>Subsidiebedrag  2022 (euro/m2)</t>
  </si>
  <si>
    <t>Subsidiebedrag  2023 (euro/m2)</t>
  </si>
  <si>
    <r>
      <t xml:space="preserve">Bedrag </t>
    </r>
    <r>
      <rPr>
        <b/>
        <sz val="11"/>
        <color theme="1"/>
        <rFont val="Calibri"/>
        <family val="2"/>
      </rPr>
      <t>€/m</t>
    </r>
    <r>
      <rPr>
        <b/>
        <vertAlign val="superscript"/>
        <sz val="11"/>
        <color theme="1"/>
        <rFont val="Calibri"/>
        <family val="2"/>
      </rPr>
      <t>2</t>
    </r>
    <r>
      <rPr>
        <b/>
        <sz val="11"/>
        <color theme="1"/>
        <rFont val="Calibri"/>
        <family val="2"/>
        <scheme val="minor"/>
      </rPr>
      <t xml:space="preserve"> isolatie
bij één maatregel (alleen vanaf 2 april 2022)</t>
    </r>
  </si>
  <si>
    <r>
      <t xml:space="preserve">Bedrag </t>
    </r>
    <r>
      <rPr>
        <b/>
        <sz val="11"/>
        <color theme="1"/>
        <rFont val="Calibri"/>
        <family val="2"/>
      </rPr>
      <t>€/m</t>
    </r>
    <r>
      <rPr>
        <b/>
        <vertAlign val="superscript"/>
        <sz val="11"/>
        <color theme="1"/>
        <rFont val="Calibri"/>
        <family val="2"/>
      </rPr>
      <t>2</t>
    </r>
    <r>
      <rPr>
        <b/>
        <sz val="11"/>
        <color theme="1"/>
        <rFont val="Calibri"/>
        <family val="2"/>
        <scheme val="minor"/>
      </rPr>
      <t xml:space="preserve"> isolatie
bij één maatregel vanaf 1 januari 2023</t>
    </r>
  </si>
  <si>
    <t>Subsidiebedrag multiplier</t>
  </si>
  <si>
    <t>Berekend subsidiebedrag per m2 (afhankelijk van uitvoeringsdatum en aantal maatregelen)</t>
  </si>
  <si>
    <t>Tarief o.b.v. gekozen jaar</t>
  </si>
  <si>
    <t>Tellertje aantal geselecteerde technieken t.b.v. verdubbeling tarief isolatiemaatregelen</t>
  </si>
  <si>
    <t xml:space="preserve">Keuzelijst vraag type glas </t>
  </si>
  <si>
    <t>Keuzelijst type panelen en deuren</t>
  </si>
  <si>
    <t>Antwoord op ja/nee vraag bij type glas, deuren en panelen (1=Ja, 2=Nee)</t>
  </si>
  <si>
    <t>1. Heeft u al eerder ISDE-subsidie ontvangen?</t>
  </si>
  <si>
    <t>Heeft u al eerder ISDE-subsidie ontvangen?</t>
  </si>
  <si>
    <t>Keuzelijst vraag eerder ISDE-subsidie ontvangen</t>
  </si>
  <si>
    <t>Ja</t>
  </si>
  <si>
    <t>Nee</t>
  </si>
  <si>
    <t xml:space="preserve">Meer informatie over de onderstaande technieken vindt u op de ISDE-website: </t>
  </si>
  <si>
    <t>2. Wilt u isolatiemaatregelen laten uitvoeren?</t>
  </si>
  <si>
    <t xml:space="preserve">Let op: </t>
  </si>
  <si>
    <t xml:space="preserve">Kies in uw subsidieaanvraag tussen dakisolatie of zolder/vlieringisolatie: u krijgt maar voor één van deze maatregelen subsidie. </t>
  </si>
  <si>
    <t>Kies in uw subsidieaanvraag tussen vloerisolatie of bodemisolatie: u krijgt maar voor één van deze maatregelen subsidie.</t>
  </si>
  <si>
    <t>5. Wilt u een bestaande koopwoning laten aansluiten op een warmtenet?</t>
  </si>
  <si>
    <t>3. Wilt u een warmtepomp laten installeren?</t>
  </si>
  <si>
    <t>4. Wilt u een zonneboiler laten installeren?</t>
  </si>
  <si>
    <t>Wilt u glasisolatie laten plaatsen?</t>
  </si>
  <si>
    <t xml:space="preserve">Kiest u voor HR++ en/of Triple glasisolatie? Dan komen ook onderstaande types panelen en deuren in aanmerking. </t>
  </si>
  <si>
    <t>Heeft u voor de aansluiting warmtenet al  eerder  subsidie ontvangen van de Rijksoverheid?</t>
  </si>
  <si>
    <t xml:space="preserve"> </t>
  </si>
  <si>
    <t>Keuzelijsten elektrische kookvoorziening</t>
  </si>
  <si>
    <t xml:space="preserve"> Is uw woning aangesloten op een warmtenet?</t>
  </si>
  <si>
    <t>Is uw woning afgesloten van het aardgasnet en de elektrische kookvoorziening aangeschaft op of ná 1 april 2022?</t>
  </si>
  <si>
    <t>Heeft u uw woning op een warmtenet aangesloten?</t>
  </si>
  <si>
    <t xml:space="preserve">6. Wilt u een elektrische kookvoorziening aanschaffen? </t>
  </si>
  <si>
    <t>Wilt u een elektrische kookvoorziening aanschaffen?</t>
  </si>
  <si>
    <t>Subtellertje glastechnieken en m2</t>
  </si>
  <si>
    <t>MKI-bonus isolatiemateriaal</t>
  </si>
  <si>
    <t>Opmerkingen</t>
  </si>
  <si>
    <t xml:space="preserve">MKI-bonus isolatienateriaal </t>
  </si>
  <si>
    <t>Antwoord biobased vragen</t>
  </si>
  <si>
    <t>WAAR = biobased dakisolatie</t>
  </si>
  <si>
    <t>WAAR = biobased gevelisolatie</t>
  </si>
  <si>
    <t>WAAR = biobased spouwisolatie</t>
  </si>
  <si>
    <t>WAAR = biobased vloerisolatie</t>
  </si>
  <si>
    <t>Vink aan welke maatregelen biobased zijn (indien van toepassing).</t>
  </si>
  <si>
    <t>≤</t>
  </si>
  <si>
    <t>Tarief op basis van gekozen jaar</t>
  </si>
  <si>
    <t>Subsidiebedrag bij één maatregel 2022-2023 (euro/m2)</t>
  </si>
  <si>
    <t>Subsidiebedrag bij één maatregel 2024 (euro/m2)</t>
  </si>
  <si>
    <t>Type isolatie</t>
  </si>
  <si>
    <t>Op of ná 1 januari 2024</t>
  </si>
  <si>
    <t>Vast bedrag 2022-2023</t>
  </si>
  <si>
    <t>Totaal vast bedrag 2022-2023</t>
  </si>
  <si>
    <t>Extra bedrag/kW 2022-2023</t>
  </si>
  <si>
    <t>Warmtepomp 2022-2023</t>
  </si>
  <si>
    <t>Warmtepomp 2024</t>
  </si>
  <si>
    <t>Vast bedrag 2024</t>
  </si>
  <si>
    <t>Verhoging door energieklasse 2024</t>
  </si>
  <si>
    <t>Totaal vast bedrag 2024</t>
  </si>
  <si>
    <t>Extra bedrag/kW 2024</t>
  </si>
  <si>
    <r>
      <t xml:space="preserve">Lucht-water </t>
    </r>
    <r>
      <rPr>
        <sz val="11"/>
        <color theme="1"/>
        <rFont val="Calibri"/>
        <family val="2"/>
      </rPr>
      <t>≥ 1 kW en ≤ 70 kW</t>
    </r>
  </si>
  <si>
    <r>
      <t xml:space="preserve">Lucht-water </t>
    </r>
    <r>
      <rPr>
        <sz val="11"/>
        <rFont val="Calibri"/>
        <family val="2"/>
      </rPr>
      <t>≥ 71 kW en ≤ 400 kW</t>
    </r>
  </si>
  <si>
    <r>
      <t xml:space="preserve">Water-water ≥ 71 kW en </t>
    </r>
    <r>
      <rPr>
        <sz val="11"/>
        <rFont val="Calibri"/>
        <family val="2"/>
      </rPr>
      <t>≤</t>
    </r>
    <r>
      <rPr>
        <sz val="11"/>
        <rFont val="Calibri"/>
        <family val="2"/>
        <scheme val="minor"/>
      </rPr>
      <t xml:space="preserve"> 400 kW</t>
    </r>
  </si>
  <si>
    <r>
      <t xml:space="preserve">Water-water ≥ 10 kW en </t>
    </r>
    <r>
      <rPr>
        <sz val="11"/>
        <color theme="1"/>
        <rFont val="Calibri"/>
        <family val="2"/>
      </rPr>
      <t>≤</t>
    </r>
    <r>
      <rPr>
        <sz val="11"/>
        <color theme="1"/>
        <rFont val="Calibri"/>
        <family val="2"/>
        <scheme val="minor"/>
      </rPr>
      <t xml:space="preserve"> 70 kW</t>
    </r>
  </si>
  <si>
    <r>
      <t xml:space="preserve">Grond-water ≥ 10 kW en </t>
    </r>
    <r>
      <rPr>
        <sz val="11"/>
        <color theme="1"/>
        <rFont val="Calibri"/>
        <family val="2"/>
      </rPr>
      <t>≤</t>
    </r>
    <r>
      <rPr>
        <sz val="11"/>
        <color theme="1"/>
        <rFont val="Calibri"/>
        <family val="2"/>
        <scheme val="minor"/>
      </rPr>
      <t xml:space="preserve"> 70 kW</t>
    </r>
  </si>
  <si>
    <r>
      <t xml:space="preserve">Grond-water ≥ 71 kW en </t>
    </r>
    <r>
      <rPr>
        <sz val="11"/>
        <rFont val="Calibri"/>
        <family val="2"/>
      </rPr>
      <t>≤</t>
    </r>
    <r>
      <rPr>
        <sz val="11"/>
        <rFont val="Calibri"/>
        <family val="2"/>
        <scheme val="minor"/>
      </rPr>
      <t xml:space="preserve"> 400 kW</t>
    </r>
  </si>
  <si>
    <t>boven 71 kW</t>
  </si>
  <si>
    <t>Energieklasse A+++ of hoger</t>
  </si>
  <si>
    <t>Energieklasse A++</t>
  </si>
  <si>
    <t>Energieklasse A+</t>
  </si>
  <si>
    <t>Keuzelijst datum installatie warmtepomp</t>
  </si>
  <si>
    <t>Vóór 1 januari 2024 en ≤  24 maanden geleden</t>
  </si>
  <si>
    <t>Energie-efficiency klassen 2024</t>
  </si>
  <si>
    <t>Verhoging door energie-efficiency klasse 2022-2023</t>
  </si>
  <si>
    <t>Lucht-water &lt; 1 kW Energieklasse A+++ of hoger Vóór 1 januari 2024 en ≤  24 maanden geleden</t>
  </si>
  <si>
    <t>Lucht-water &lt; 1 kW Energieklasse A++ Vóór 1 januari 2024 en ≤  24 maanden geleden</t>
  </si>
  <si>
    <t>Lucht-water &lt; 1 kW Energieklasse A+ Vóór 1 januari 2024 en ≤  24 maanden geleden</t>
  </si>
  <si>
    <t>Lucht-water &lt; 1 kW Energieklasse A t/m G Vóór 1 januari 2024 en ≤  24 maanden geleden</t>
  </si>
  <si>
    <t>Lucht-water ≥ 1 kW en ≤ 70 kW Energieklasse A+++ of hoger Vóór 1 januari 2024 en ≤  24 maanden geleden</t>
  </si>
  <si>
    <t>Lucht-water ≥ 1 kW en ≤ 70 kW Energieklasse A++ Vóór 1 januari 2024 en ≤  24 maanden geleden</t>
  </si>
  <si>
    <t>Lucht-water ≥ 1 kW en ≤ 70 kW Energieklasse A+ Vóór 1 januari 2024 en ≤  24 maanden geleden</t>
  </si>
  <si>
    <t>Lucht-water ≥ 1 kW en ≤ 70 kW Energieklasse A t/m G Vóór 1 januari 2024 en ≤  24 maanden geleden</t>
  </si>
  <si>
    <t>Lucht-water ≥ 71 kW en ≤ 400 kW Energieklasse A+++ of hoger Vóór 1 januari 2024 en ≤  24 maanden geleden</t>
  </si>
  <si>
    <t>Lucht-water ≥ 71 kW en ≤ 400 kW Energieklasse A++ Vóór 1 januari 2024 en ≤  24 maanden geleden</t>
  </si>
  <si>
    <t>Lucht-water ≥ 71 kW en ≤ 400 kW Energieklasse A+ Vóór 1 januari 2024 en ≤  24 maanden geleden</t>
  </si>
  <si>
    <t>Lucht-water ≥ 71 kW en ≤ 400 kW Energieklasse A t/m G Vóór 1 januari 2024 en ≤  24 maanden geleden</t>
  </si>
  <si>
    <t>Samengestelde categorie-omschrijving 2022-2023</t>
  </si>
  <si>
    <t>Grond-water &lt; 1 kW Energieklasse A+++ of hoger Vóór 1 januari 2024 en ≤  24 maanden geleden</t>
  </si>
  <si>
    <t>Grond-water &lt; 1 kW Energieklasse A++ Vóór 1 januari 2024 en ≤  24 maanden geleden</t>
  </si>
  <si>
    <t>Grond-water &lt; 1 kW Energieklasse A+ Vóór 1 januari 2024 en ≤  24 maanden geleden</t>
  </si>
  <si>
    <t>Grond-water &lt; 1 kW Energieklasse A t/m G Vóór 1 januari 2024 en ≤  24 maanden geleden</t>
  </si>
  <si>
    <t>Grond-water ≥ 1 kW en &lt; 10 kW Energieklasse A+++ of hoger Vóór 1 januari 2024 en ≤  24 maanden geleden</t>
  </si>
  <si>
    <t>Grond-water ≥ 1 kW en &lt; 10 kW Energieklasse A++ Vóór 1 januari 2024 en ≤  24 maanden geleden</t>
  </si>
  <si>
    <t>Grond-water ≥ 1 kW en &lt; 10 kW Energieklasse A+ Vóór 1 januari 2024 en ≤  24 maanden geleden</t>
  </si>
  <si>
    <t>Grond-water ≥ 1 kW en &lt; 10 kW Energieklasse A t/m G Vóór 1 januari 2024 en ≤  24 maanden geleden</t>
  </si>
  <si>
    <t>Grond-water ≥ 10 kW en ≤ 70 kW Energieklasse A+++ of hoger Vóór 1 januari 2024 en ≤  24 maanden geleden</t>
  </si>
  <si>
    <t>Grond-water ≥ 10 kW en ≤ 70 kW Energieklasse A++ Vóór 1 januari 2024 en ≤  24 maanden geleden</t>
  </si>
  <si>
    <t>Grond-water ≥ 10 kW en ≤ 70 kW Energieklasse A+ Vóór 1 januari 2024 en ≤  24 maanden geleden</t>
  </si>
  <si>
    <t>Grond-water ≥ 10 kW en ≤ 70 kW Energieklasse A t/m G Vóór 1 januari 2024 en ≤  24 maanden geleden</t>
  </si>
  <si>
    <t>Grond-water ≥ 71 kW en ≤ 400 kW Energieklasse A+++ of hoger Vóór 1 januari 2024 en ≤  24 maanden geleden</t>
  </si>
  <si>
    <t>Grond-water ≥ 71 kW en ≤ 400 kW Energieklasse A++ Vóór 1 januari 2024 en ≤  24 maanden geleden</t>
  </si>
  <si>
    <t>Grond-water ≥ 71 kW en ≤ 400 kW Energieklasse A t/m G Vóór 1 januari 2024 en ≤  24 maanden geleden</t>
  </si>
  <si>
    <t>Water-water &lt; 1 kW Energieklasse A+++ of hoger Vóór 1 januari 2024 en ≤  24 maanden geleden</t>
  </si>
  <si>
    <t>Water-water &lt; 1 kW Energieklasse A++ Vóór 1 januari 2024 en ≤  24 maanden geleden</t>
  </si>
  <si>
    <t>Water-water &lt; 1 kW Energieklasse A+ Vóór 1 januari 2024 en ≤  24 maanden geleden</t>
  </si>
  <si>
    <t>Water-water &lt; 1 kW Energieklasse A t/m G Vóór 1 januari 2024 en ≤  24 maanden geleden</t>
  </si>
  <si>
    <t>Water-water ≥ 1 kW en &lt; 10 kW Energieklasse A+++ of hoger Vóór 1 januari 2024 en ≤  24 maanden geleden</t>
  </si>
  <si>
    <t>Water-water ≥ 1 kW en &lt; 10 kW Energieklasse A++ Vóór 1 januari 2024 en ≤  24 maanden geleden</t>
  </si>
  <si>
    <t>Water-water ≥ 1 kW en &lt; 10 kW Energieklasse A+ Vóór 1 januari 2024 en ≤  24 maanden geleden</t>
  </si>
  <si>
    <t>Water-water ≥ 1 kW en &lt; 10 kW Energieklasse A t/m G Vóór 1 januari 2024 en ≤  24 maanden geleden</t>
  </si>
  <si>
    <t>Water-water ≥ 10 kW en ≤ 70 kW Energieklasse A+++ of hoger Vóór 1 januari 2024 en ≤  24 maanden geleden</t>
  </si>
  <si>
    <t>Water-water ≥ 10 kW en ≤ 70 kW Energieklasse A++ Vóór 1 januari 2024 en ≤  24 maanden geleden</t>
  </si>
  <si>
    <t>Water-water ≥ 10 kW en ≤ 70 kW Energieklasse A+ Vóór 1 januari 2024 en ≤  24 maanden geleden</t>
  </si>
  <si>
    <t>Water-water ≥ 10 kW en ≤ 70 kW Energieklasse A t/m G Vóór 1 januari 2024 en ≤  24 maanden geleden</t>
  </si>
  <si>
    <t>Water-water ≥ 71 kW en ≤ 400 kW Energieklasse A+++ of hoger Vóór 1 januari 2024 en ≤  24 maanden geleden</t>
  </si>
  <si>
    <t>Water-water ≥ 71 kW en ≤ 400 kW Energieklasse A++ Vóór 1 januari 2024 en ≤  24 maanden geleden</t>
  </si>
  <si>
    <t>Water-water ≥ 71 kW en ≤ 400 kW Energieklasse A+ Vóór 1 januari 2024 en ≤  24 maanden geleden</t>
  </si>
  <si>
    <t>Water-water ≥ 71 kW en ≤ 400 kW Energieklasse A t/m G Vóór 1 januari 2024 en ≤  24 maanden geleden</t>
  </si>
  <si>
    <t>Samengestelde categorie-omschrijving t.b.v. zoeken in tabellen warmtepomp</t>
  </si>
  <si>
    <t>Lucht-water &lt; 1 kW Energieklasse A+++ of hoger Op of ná 1 januari 2024</t>
  </si>
  <si>
    <t>Lucht-water &lt; 1 kW Energieklasse A++ Op of ná 1 januari 2024</t>
  </si>
  <si>
    <t>Lucht-water &lt; 1 kW Energieklasse A+ Op of ná 1 januari 2024</t>
  </si>
  <si>
    <t>Lucht-water ≥ 1 kW en ≤ 70 kW Energieklasse A+++ of hoger Op of ná 1 januari 2024</t>
  </si>
  <si>
    <t>Lucht-water ≥ 1 kW en ≤ 70 kW Energieklasse A++ Op of ná 1 januari 2024</t>
  </si>
  <si>
    <t>Lucht-water ≥ 1 kW en ≤ 70 kW Energieklasse A+ Op of ná 1 januari 2024</t>
  </si>
  <si>
    <t>Lucht-water ≥ 1 kW en ≤ 70 kW Energieklasse A t/m G Op of ná 1 januari 2024</t>
  </si>
  <si>
    <t>Lucht-water ≥ 71 kW en ≤ 400 kW Energieklasse A+++ of hoger Op of ná 1 januari 2024</t>
  </si>
  <si>
    <t>Lucht-water ≥ 71 kW en ≤ 400 kW Energieklasse A++ Op of ná 1 januari 2024</t>
  </si>
  <si>
    <t>Lucht-water ≥ 71 kW en ≤ 400 kW Energieklasse A+ Op of ná 1 januari 2024</t>
  </si>
  <si>
    <t>Lucht-water ≥ 71 kW en ≤ 400 kW Energieklasse A t/m G Op of ná 1 januari 2024</t>
  </si>
  <si>
    <t>Grond-water &lt; 1 kW Energieklasse A+++ of hoger Op of ná 1 januari 2024</t>
  </si>
  <si>
    <t>Grond-water &lt; 1 kW Energieklasse A++ Op of ná 1 januari 2024</t>
  </si>
  <si>
    <t>Grond-water &lt; 1 kW Energieklasse A+ Op of ná 1 januari 2024</t>
  </si>
  <si>
    <t>Grond-water &lt; 1 kW Energieklasse A t/m G Op of ná 1 januari 2024</t>
  </si>
  <si>
    <t>Grond-water ≥ 1 kW en &lt; 10 kW Energieklasse A+++ of hoger Op of ná 1 januari 2024</t>
  </si>
  <si>
    <t>Grond-water ≥ 1 kW en &lt; 10 kW Energieklasse A++ Op of ná 1 januari 2024</t>
  </si>
  <si>
    <t>Grond-water ≥ 1 kW en &lt; 10 kW Energieklasse A+ Op of ná 1 januari 2024</t>
  </si>
  <si>
    <t>Grond-water ≥ 1 kW en &lt; 10 kW Energieklasse A t/m G Op of ná 1 januari 2024</t>
  </si>
  <si>
    <t>Grond-water ≥ 10 kW en ≤ 70 kW Energieklasse A+++ of hoger Op of ná 1 januari 2024</t>
  </si>
  <si>
    <t>Grond-water ≥ 10 kW en ≤ 70 kW Energieklasse A++ Op of ná 1 januari 2024</t>
  </si>
  <si>
    <t>Grond-water ≥ 10 kW en ≤ 70 kW Energieklasse A+ Op of ná 1 januari 2024</t>
  </si>
  <si>
    <t>Grond-water ≥ 10 kW en ≤ 70 kW Energieklasse A t/m G Op of ná 1 januari 2024</t>
  </si>
  <si>
    <t>Grond-water ≥ 71 kW en ≤ 400 kW Energieklasse A+++ of hoger Op of ná 1 januari 2024</t>
  </si>
  <si>
    <t>Grond-water ≥ 71 kW en ≤ 400 kW Energieklasse A++ Op of ná 1 januari 2024</t>
  </si>
  <si>
    <t>Grond-water ≥ 71 kW en ≤ 400 kW Energieklasse A+ Op of ná 1 januari 2024</t>
  </si>
  <si>
    <t>Grond-water ≥ 71 kW en ≤ 400 kW Energieklasse A t/m G Op of ná 1 januari 2024</t>
  </si>
  <si>
    <t>Water-water &lt; 1 kW Energieklasse A+++ of hoger Op of ná 1 januari 2024</t>
  </si>
  <si>
    <t>Water-water &lt; 1 kW Energieklasse A++ Op of ná 1 januari 2024</t>
  </si>
  <si>
    <t>Water-water &lt; 1 kW Energieklasse A+ Op of ná 1 januari 2024</t>
  </si>
  <si>
    <t>Water-water &lt; 1 kW Energieklasse A t/m G Op of ná 1 januari 2024</t>
  </si>
  <si>
    <t>Water-water ≥ 1 kW en &lt; 10 kW Energieklasse A+++ of hoger Op of ná 1 januari 2024</t>
  </si>
  <si>
    <t>Water-water ≥ 1 kW en &lt; 10 kW Energieklasse A++ Op of ná 1 januari 2024</t>
  </si>
  <si>
    <t>Water-water ≥ 1 kW en &lt; 10 kW Energieklasse A+ Op of ná 1 januari 2024</t>
  </si>
  <si>
    <t>Water-water ≥ 1 kW en &lt; 10 kW Energieklasse A t/m G Op of ná 1 januari 2024</t>
  </si>
  <si>
    <t>Water-water ≥ 10 kW en ≤ 70 kW Energieklasse A+++ of hoger Op of ná 1 januari 2024</t>
  </si>
  <si>
    <t>Water-water ≥ 10 kW en ≤ 70 kW Energieklasse A++ Op of ná 1 januari 2024</t>
  </si>
  <si>
    <t>Water-water ≥ 10 kW en ≤ 70 kW Energieklasse A+ Op of ná 1 januari 2024</t>
  </si>
  <si>
    <t>Water-water ≥ 10 kW en ≤ 70 kW Energieklasse A t/m G Op of ná 1 januari 2024</t>
  </si>
  <si>
    <t>Water-water ≥ 71 kW en ≤ 400 kW Energieklasse A+++ of hoger Op of ná 1 januari 2024</t>
  </si>
  <si>
    <t>Water-water ≥ 71 kW en ≤ 400 kW Energieklasse A++ Op of ná 1 januari 2024</t>
  </si>
  <si>
    <t>Water-water ≥ 71 kW en ≤ 400 kW Energieklasse A+ Op of ná 1 januari 2024</t>
  </si>
  <si>
    <t>Water-water ≥ 71 kW en ≤ 400 kW Energieklasse A t/m G Op of ná 1 januari 2024</t>
  </si>
  <si>
    <t>Lucht-water &lt; 1 kW Energieklasse A t/m G Op of ná 1 januari 2024</t>
  </si>
  <si>
    <t>Grond-water ≥ 71 kW en ≤ 400 kW Energieklasse A+ Vóór 1 januari 2024 en ≤  24 maanden geleden</t>
  </si>
  <si>
    <t>Geen aansluiting warmtenet</t>
  </si>
  <si>
    <t>Aansluiting op een warmtenet</t>
  </si>
  <si>
    <t>Geen aansluiting op een warmtenet</t>
  </si>
  <si>
    <t xml:space="preserve">Aansluiting op een warmtenet </t>
  </si>
  <si>
    <t>Aansluiting op een warmtenet Op of ná 1 januari 2024</t>
  </si>
  <si>
    <t>Keuzelijst datum aansluiting op een warmtenet</t>
  </si>
  <si>
    <t>Aansluiting op een warmtenet Vóór 1 januari 2024 en ≤  24 maanden geleden</t>
  </si>
  <si>
    <t>Keuzelijst datum installatie zonneboiler</t>
  </si>
  <si>
    <t>Samengestelde categorie-omschrijving t.b.v. zoeken in tabellen zonneboiler</t>
  </si>
  <si>
    <r>
      <t xml:space="preserve">Zonneboiler </t>
    </r>
    <r>
      <rPr>
        <sz val="11"/>
        <color theme="1"/>
        <rFont val="Calibri"/>
        <family val="2"/>
      </rPr>
      <t>≤ 5 m</t>
    </r>
    <r>
      <rPr>
        <vertAlign val="superscript"/>
        <sz val="11"/>
        <color theme="1"/>
        <rFont val="Calibri"/>
        <family val="2"/>
      </rPr>
      <t>2</t>
    </r>
    <r>
      <rPr>
        <sz val="11"/>
        <color theme="1"/>
        <rFont val="Calibri"/>
        <family val="2"/>
        <scheme val="minor"/>
      </rPr>
      <t xml:space="preserve"> Vóór 1 januari 2024 en ≤  24 maanden geleden</t>
    </r>
  </si>
  <si>
    <r>
      <t xml:space="preserve">Zonneboiler &gt; 5 en </t>
    </r>
    <r>
      <rPr>
        <sz val="11"/>
        <color theme="1"/>
        <rFont val="Calibri"/>
        <family val="2"/>
      </rPr>
      <t>≤ 10 m</t>
    </r>
    <r>
      <rPr>
        <vertAlign val="superscript"/>
        <sz val="11"/>
        <color theme="1"/>
        <rFont val="Calibri"/>
        <family val="2"/>
      </rPr>
      <t>2</t>
    </r>
    <r>
      <rPr>
        <sz val="11"/>
        <color theme="1"/>
        <rFont val="Calibri"/>
        <family val="2"/>
        <scheme val="minor"/>
      </rPr>
      <t xml:space="preserve"> Vóór 1 januari 2024 en ≤  24 maanden geleden</t>
    </r>
  </si>
  <si>
    <r>
      <t xml:space="preserve">Zonneboilercombi </t>
    </r>
    <r>
      <rPr>
        <sz val="11"/>
        <color theme="1"/>
        <rFont val="Calibri"/>
        <family val="2"/>
      </rPr>
      <t>≤ 5 m</t>
    </r>
    <r>
      <rPr>
        <vertAlign val="superscript"/>
        <sz val="11"/>
        <color theme="1"/>
        <rFont val="Calibri"/>
        <family val="2"/>
      </rPr>
      <t>2</t>
    </r>
    <r>
      <rPr>
        <sz val="11"/>
        <color theme="1"/>
        <rFont val="Calibri"/>
        <family val="2"/>
        <scheme val="minor"/>
      </rPr>
      <t xml:space="preserve"> Vóór 1 januari 2024 en ≤  24 maanden geleden</t>
    </r>
  </si>
  <si>
    <r>
      <t xml:space="preserve">Zonneboilercombi &gt; 5 en </t>
    </r>
    <r>
      <rPr>
        <sz val="11"/>
        <color theme="1"/>
        <rFont val="Calibri"/>
        <family val="2"/>
      </rPr>
      <t>≤ 10 m</t>
    </r>
    <r>
      <rPr>
        <vertAlign val="superscript"/>
        <sz val="11"/>
        <color theme="1"/>
        <rFont val="Calibri"/>
        <family val="2"/>
      </rPr>
      <t>2</t>
    </r>
    <r>
      <rPr>
        <sz val="11"/>
        <color theme="1"/>
        <rFont val="Calibri"/>
        <family val="2"/>
        <scheme val="minor"/>
      </rPr>
      <t xml:space="preserve"> Vóór 1 januari 2024 en ≤  24 maanden geleden</t>
    </r>
  </si>
  <si>
    <r>
      <t xml:space="preserve">Zonneboiler </t>
    </r>
    <r>
      <rPr>
        <sz val="11"/>
        <color theme="1"/>
        <rFont val="Calibri"/>
        <family val="2"/>
      </rPr>
      <t>≤ 5 m</t>
    </r>
    <r>
      <rPr>
        <vertAlign val="superscript"/>
        <sz val="11"/>
        <color theme="1"/>
        <rFont val="Calibri"/>
        <family val="2"/>
      </rPr>
      <t>2</t>
    </r>
    <r>
      <rPr>
        <sz val="11"/>
        <color theme="1"/>
        <rFont val="Calibri"/>
        <family val="2"/>
        <scheme val="minor"/>
      </rPr>
      <t xml:space="preserve"> Op of ná 1 januari 2024</t>
    </r>
  </si>
  <si>
    <r>
      <t xml:space="preserve">Zonneboiler &gt; 5 en </t>
    </r>
    <r>
      <rPr>
        <sz val="11"/>
        <color theme="1"/>
        <rFont val="Calibri"/>
        <family val="2"/>
      </rPr>
      <t>≤ 10 m</t>
    </r>
    <r>
      <rPr>
        <vertAlign val="superscript"/>
        <sz val="11"/>
        <color theme="1"/>
        <rFont val="Calibri"/>
        <family val="2"/>
      </rPr>
      <t>2</t>
    </r>
    <r>
      <rPr>
        <sz val="11"/>
        <color theme="1"/>
        <rFont val="Calibri"/>
        <family val="2"/>
        <scheme val="minor"/>
      </rPr>
      <t xml:space="preserve"> Op of ná 1 januari 2024</t>
    </r>
  </si>
  <si>
    <r>
      <t xml:space="preserve">Zonneboilercombi </t>
    </r>
    <r>
      <rPr>
        <sz val="11"/>
        <color theme="1"/>
        <rFont val="Calibri"/>
        <family val="2"/>
      </rPr>
      <t>≤ 5 m</t>
    </r>
    <r>
      <rPr>
        <vertAlign val="superscript"/>
        <sz val="11"/>
        <color theme="1"/>
        <rFont val="Calibri"/>
        <family val="2"/>
      </rPr>
      <t>2</t>
    </r>
    <r>
      <rPr>
        <sz val="11"/>
        <color theme="1"/>
        <rFont val="Calibri"/>
        <family val="2"/>
        <scheme val="minor"/>
      </rPr>
      <t xml:space="preserve"> Op of ná 1 januari 2024</t>
    </r>
  </si>
  <si>
    <r>
      <t xml:space="preserve">Zonneboilercombi &gt; 5 en </t>
    </r>
    <r>
      <rPr>
        <sz val="11"/>
        <color theme="1"/>
        <rFont val="Calibri"/>
        <family val="2"/>
      </rPr>
      <t>≤ 10 m</t>
    </r>
    <r>
      <rPr>
        <vertAlign val="superscript"/>
        <sz val="11"/>
        <color theme="1"/>
        <rFont val="Calibri"/>
        <family val="2"/>
      </rPr>
      <t>2</t>
    </r>
    <r>
      <rPr>
        <sz val="11"/>
        <color theme="1"/>
        <rFont val="Calibri"/>
        <family val="2"/>
        <scheme val="minor"/>
      </rPr>
      <t xml:space="preserve"> Op of ná 1 januari 2024</t>
    </r>
  </si>
  <si>
    <t xml:space="preserve">Energie-efficiency klasse voor dit type warmtepomp moet minimaal A++ zijn bij installatie vanaf 1 januari 2024.  </t>
  </si>
  <si>
    <t>Op of ná 1 januari 2023</t>
  </si>
  <si>
    <r>
      <t xml:space="preserve">Biobased isolatiemaatregelen uitgevoerd vanaf </t>
    </r>
    <r>
      <rPr>
        <b/>
        <sz val="10"/>
        <color theme="1"/>
        <rFont val="Calibri"/>
        <family val="2"/>
        <scheme val="minor"/>
      </rPr>
      <t>1 januari 2024</t>
    </r>
    <r>
      <rPr>
        <sz val="10"/>
        <color theme="1"/>
        <rFont val="Calibri"/>
        <family val="2"/>
        <scheme val="minor"/>
      </rPr>
      <t xml:space="preserve"> komen in aanmerking voor een MKI-bonus.</t>
    </r>
  </si>
  <si>
    <r>
      <t>Subsidiabel oppervlak min. (m</t>
    </r>
    <r>
      <rPr>
        <vertAlign val="superscript"/>
        <sz val="10"/>
        <color theme="1"/>
        <rFont val="Calibri"/>
        <family val="2"/>
        <scheme val="minor"/>
      </rPr>
      <t>2</t>
    </r>
    <r>
      <rPr>
        <sz val="10"/>
        <color theme="1"/>
        <rFont val="Calibri"/>
        <family val="2"/>
        <scheme val="minor"/>
      </rPr>
      <t>) - max. (m</t>
    </r>
    <r>
      <rPr>
        <vertAlign val="superscript"/>
        <sz val="10"/>
        <color theme="1"/>
        <rFont val="Calibri"/>
        <family val="2"/>
        <scheme val="minor"/>
      </rPr>
      <t>2</t>
    </r>
    <r>
      <rPr>
        <sz val="10"/>
        <color theme="1"/>
        <rFont val="Calibri"/>
        <family val="2"/>
        <scheme val="minor"/>
      </rPr>
      <t>)</t>
    </r>
  </si>
  <si>
    <r>
      <t>Subsidiebedrag per m</t>
    </r>
    <r>
      <rPr>
        <vertAlign val="superscript"/>
        <sz val="10"/>
        <color theme="1"/>
        <rFont val="Calibri"/>
        <family val="2"/>
        <scheme val="minor"/>
      </rPr>
      <t>2</t>
    </r>
    <r>
      <rPr>
        <sz val="10"/>
        <color theme="1"/>
        <rFont val="Calibri"/>
        <family val="2"/>
        <scheme val="minor"/>
      </rPr>
      <t xml:space="preserve"> (€)</t>
    </r>
  </si>
  <si>
    <r>
      <t>Te isoleren oppervlak (m</t>
    </r>
    <r>
      <rPr>
        <vertAlign val="superscript"/>
        <sz val="10"/>
        <color theme="1"/>
        <rFont val="Calibri"/>
        <family val="2"/>
        <scheme val="minor"/>
      </rPr>
      <t>2</t>
    </r>
    <r>
      <rPr>
        <sz val="10"/>
        <color theme="1"/>
        <rFont val="Calibri"/>
        <family val="2"/>
        <scheme val="minor"/>
      </rPr>
      <t>)</t>
    </r>
  </si>
  <si>
    <r>
      <t>Subsidiabele m</t>
    </r>
    <r>
      <rPr>
        <vertAlign val="superscript"/>
        <sz val="10"/>
        <color theme="1"/>
        <rFont val="Calibri"/>
        <family val="2"/>
        <scheme val="minor"/>
      </rPr>
      <t>2</t>
    </r>
    <r>
      <rPr>
        <sz val="10"/>
        <color theme="1"/>
        <rFont val="Calibri"/>
        <family val="2"/>
        <scheme val="minor"/>
      </rPr>
      <t xml:space="preserve"> </t>
    </r>
  </si>
  <si>
    <r>
      <t>Subsidiebedrag maatregel (</t>
    </r>
    <r>
      <rPr>
        <sz val="10"/>
        <color theme="1"/>
        <rFont val="Calibri"/>
        <family val="2"/>
      </rPr>
      <t>€)</t>
    </r>
  </si>
  <si>
    <r>
      <t>MKI-bonus (</t>
    </r>
    <r>
      <rPr>
        <sz val="10"/>
        <color theme="1"/>
        <rFont val="Calibri"/>
        <family val="2"/>
      </rPr>
      <t>€)</t>
    </r>
  </si>
  <si>
    <r>
      <t>Gezamenlijk subsidiabel oppervlak glas+panelen+deuren 
min. (m</t>
    </r>
    <r>
      <rPr>
        <vertAlign val="superscript"/>
        <sz val="10"/>
        <color theme="1"/>
        <rFont val="Calibri"/>
        <family val="2"/>
        <scheme val="minor"/>
      </rPr>
      <t>2</t>
    </r>
    <r>
      <rPr>
        <sz val="10"/>
        <color theme="1"/>
        <rFont val="Calibri"/>
        <family val="2"/>
        <scheme val="minor"/>
      </rPr>
      <t>) - max. (m</t>
    </r>
    <r>
      <rPr>
        <vertAlign val="superscript"/>
        <sz val="10"/>
        <color theme="1"/>
        <rFont val="Calibri"/>
        <family val="2"/>
        <scheme val="minor"/>
      </rPr>
      <t>2</t>
    </r>
    <r>
      <rPr>
        <sz val="10"/>
        <color theme="1"/>
        <rFont val="Calibri"/>
        <family val="2"/>
        <scheme val="minor"/>
      </rPr>
      <t>)</t>
    </r>
  </si>
  <si>
    <r>
      <t>Subsidiabele m</t>
    </r>
    <r>
      <rPr>
        <vertAlign val="superscript"/>
        <sz val="10"/>
        <color theme="1"/>
        <rFont val="Calibri"/>
        <family val="2"/>
        <scheme val="minor"/>
      </rPr>
      <t>2</t>
    </r>
    <r>
      <rPr>
        <sz val="10"/>
        <color theme="1"/>
        <rFont val="Calibri"/>
        <family val="2"/>
        <scheme val="minor"/>
      </rPr>
      <t xml:space="preserve"> (rekening houdend met 45 m</t>
    </r>
    <r>
      <rPr>
        <vertAlign val="superscript"/>
        <sz val="10"/>
        <color theme="1"/>
        <rFont val="Calibri"/>
        <family val="2"/>
        <scheme val="minor"/>
      </rPr>
      <t xml:space="preserve">2 </t>
    </r>
    <r>
      <rPr>
        <sz val="10"/>
        <color theme="1"/>
        <rFont val="Calibri"/>
        <family val="2"/>
        <scheme val="minor"/>
      </rPr>
      <t>maximum)</t>
    </r>
  </si>
  <si>
    <r>
      <t>Totaal glas, deuren, panelen m</t>
    </r>
    <r>
      <rPr>
        <b/>
        <vertAlign val="superscript"/>
        <sz val="10"/>
        <color theme="1"/>
        <rFont val="Calibri"/>
        <family val="2"/>
        <scheme val="minor"/>
      </rPr>
      <t>2</t>
    </r>
    <r>
      <rPr>
        <b/>
        <sz val="10"/>
        <color theme="1"/>
        <rFont val="Calibri"/>
        <family val="2"/>
        <scheme val="minor"/>
      </rPr>
      <t>:</t>
    </r>
  </si>
  <si>
    <r>
      <t>Subsidiebedrag warmtepomp (</t>
    </r>
    <r>
      <rPr>
        <sz val="10"/>
        <rFont val="Calibri"/>
        <family val="2"/>
      </rPr>
      <t>€)</t>
    </r>
  </si>
  <si>
    <r>
      <t>Totale indicatieve subsidiebedrag (</t>
    </r>
    <r>
      <rPr>
        <b/>
        <sz val="13"/>
        <color theme="1"/>
        <rFont val="Calibri"/>
        <family val="2"/>
      </rPr>
      <t>€):</t>
    </r>
  </si>
  <si>
    <r>
      <t>Subsidiebedrag aansluiting op warmtenet (</t>
    </r>
    <r>
      <rPr>
        <sz val="10"/>
        <rFont val="Calibri"/>
        <family val="2"/>
      </rPr>
      <t>€)</t>
    </r>
    <r>
      <rPr>
        <sz val="10"/>
        <rFont val="Calibri"/>
        <family val="2"/>
        <scheme val="minor"/>
      </rPr>
      <t>:</t>
    </r>
  </si>
  <si>
    <r>
      <t>Subsidiebedrag zonneboiler (</t>
    </r>
    <r>
      <rPr>
        <sz val="10"/>
        <rFont val="Calibri"/>
        <family val="2"/>
      </rPr>
      <t>€)</t>
    </r>
    <r>
      <rPr>
        <sz val="10"/>
        <rFont val="Calibri"/>
        <family val="2"/>
        <scheme val="minor"/>
      </rPr>
      <t>:</t>
    </r>
  </si>
  <si>
    <r>
      <t xml:space="preserve">Bereken in zes stappen uw mogelijke subsidie (Let op! U kunt naast de keuzerondjes alleen de </t>
    </r>
    <r>
      <rPr>
        <b/>
        <sz val="11"/>
        <color rgb="FF0070C0"/>
        <rFont val="Sans"/>
      </rPr>
      <t>blauwe velden</t>
    </r>
    <r>
      <rPr>
        <b/>
        <sz val="11"/>
        <color rgb="FF000000"/>
        <rFont val="Sans"/>
      </rPr>
      <t xml:space="preserve"> invullen of aanpassen):</t>
    </r>
  </si>
  <si>
    <t>Af te drukken overzicht gekozen maatregelen en subsidiebedragen</t>
  </si>
  <si>
    <t>Subsidiabel oppervlak (m2)</t>
  </si>
  <si>
    <t>Dakisolatie/zolder-of vlieringisolatie (incl. MKI-bonus)</t>
  </si>
  <si>
    <t>Binnen-of buitengevelisolatie (incl. MKI-bonus)</t>
  </si>
  <si>
    <t>Spouwmuurisolatie (incl. MKI-bonus)</t>
  </si>
  <si>
    <t>Vloer-of bodemisolatie (inc. MKI-bonus)</t>
  </si>
  <si>
    <t>Isolatiemaatregelen</t>
  </si>
  <si>
    <t>HR++ glas</t>
  </si>
  <si>
    <t>Triple glas</t>
  </si>
  <si>
    <r>
      <t xml:space="preserve">Isolerende panelen in kozijnen, U </t>
    </r>
    <r>
      <rPr>
        <sz val="11"/>
        <color theme="1"/>
        <rFont val="Calibri"/>
        <family val="2"/>
      </rPr>
      <t>≤</t>
    </r>
    <r>
      <rPr>
        <sz val="11"/>
        <color theme="1"/>
        <rFont val="Calibri"/>
        <family val="2"/>
        <scheme val="minor"/>
      </rPr>
      <t xml:space="preserve"> 0,7 W/m2K</t>
    </r>
  </si>
  <si>
    <t>Warmtepomp</t>
  </si>
  <si>
    <t>Aansluiting op een warmtenet (inclusief kookvoorziening)</t>
  </si>
  <si>
    <t>Isolerende beglazing, panelen en deuren</t>
  </si>
  <si>
    <t>Totaal subsidiebedrag</t>
  </si>
  <si>
    <t>(indicatief)</t>
  </si>
  <si>
    <r>
      <t>Subsidiebedrag (</t>
    </r>
    <r>
      <rPr>
        <b/>
        <sz val="12"/>
        <color theme="1"/>
        <rFont val="Calibri"/>
        <family val="2"/>
      </rPr>
      <t>€)</t>
    </r>
  </si>
  <si>
    <r>
      <t xml:space="preserve">Vermogen (indien </t>
    </r>
    <r>
      <rPr>
        <b/>
        <sz val="12"/>
        <color theme="1"/>
        <rFont val="Calibri"/>
        <family val="2"/>
      </rPr>
      <t>≥ 10 kW)</t>
    </r>
  </si>
  <si>
    <t>Aansluiting op een warmtenet/kookvoorziening</t>
  </si>
  <si>
    <t>Lucht-water ≥ 71 kW en ≤ 400 kW Niet van toepassing Vóór 1 januari 2024 en ≤  24 maanden geleden</t>
  </si>
  <si>
    <t>Grond-water ≥ 71 kW en ≤ 400 kW Niet van toepassing Vóór 1 januari 2024 en ≤  24 maanden geleden</t>
  </si>
  <si>
    <t>Water-water ≥ 71 kW en ≤ 400 kW Niet van toepassing Vóór 1 januari 2024 en ≤  24 maanden geleden</t>
  </si>
  <si>
    <t>Lucht-water ≥ 71 kW en ≤ 400 kW Niet van toepassing Op of ná 1 januari 2024</t>
  </si>
  <si>
    <t>Grond-water ≥ 71 kW en ≤ 400 kW Niet van toepassing Op of ná 1 januari 2024</t>
  </si>
  <si>
    <t>Water-water ≥ 71 kW en ≤ 400 kW Niet van toepassing Op of ná 1 januari 2024</t>
  </si>
  <si>
    <r>
      <t xml:space="preserve">Isolerende panelen in kozijnen, U </t>
    </r>
    <r>
      <rPr>
        <sz val="11"/>
        <color theme="1"/>
        <rFont val="Calibri"/>
        <family val="2"/>
      </rPr>
      <t>≤</t>
    </r>
    <r>
      <rPr>
        <sz val="11"/>
        <color theme="1"/>
        <rFont val="Calibri"/>
        <family val="2"/>
        <scheme val="minor"/>
      </rPr>
      <t xml:space="preserve"> 1,2 W/m2K</t>
    </r>
  </si>
  <si>
    <r>
      <t xml:space="preserve">Isolerende deur, U </t>
    </r>
    <r>
      <rPr>
        <sz val="11"/>
        <color theme="1"/>
        <rFont val="Calibri"/>
        <family val="2"/>
      </rPr>
      <t>≤</t>
    </r>
    <r>
      <rPr>
        <sz val="11"/>
        <color theme="1"/>
        <rFont val="Calibri"/>
        <family val="2"/>
        <scheme val="minor"/>
      </rPr>
      <t xml:space="preserve"> 1,5 W/m2K</t>
    </r>
  </si>
  <si>
    <r>
      <t xml:space="preserve">Isolerende deur, U </t>
    </r>
    <r>
      <rPr>
        <sz val="11"/>
        <color theme="1"/>
        <rFont val="Calibri"/>
        <family val="2"/>
      </rPr>
      <t>≤</t>
    </r>
    <r>
      <rPr>
        <sz val="11"/>
        <color theme="1"/>
        <rFont val="Calibri"/>
        <family val="2"/>
        <scheme val="minor"/>
      </rPr>
      <t xml:space="preserve"> 1,0 W/m2K</t>
    </r>
  </si>
  <si>
    <r>
      <t>Totaal glas, deuren en panelen (</t>
    </r>
    <r>
      <rPr>
        <b/>
        <sz val="10"/>
        <color theme="1"/>
        <rFont val="Calibri"/>
        <family val="2"/>
      </rPr>
      <t>€)</t>
    </r>
    <r>
      <rPr>
        <b/>
        <sz val="10"/>
        <color theme="1"/>
        <rFont val="Calibri"/>
        <family val="2"/>
        <scheme val="minor"/>
      </rPr>
      <t>:</t>
    </r>
  </si>
  <si>
    <r>
      <t xml:space="preserve">Deze rekentool is voor woningeigenaren (eigenaar-bewoners). Vul deze rekentool volledig in en krijg een goede indicatie van het te verwachten subsidiebedrag. Deze tool houdt rekening met het aantal maatregelen en wanneer die zijn uitgevoerd. 
Aan de berekening kunnen geen rechten worden ontleend.  
</t>
    </r>
    <r>
      <rPr>
        <i/>
        <sz val="11"/>
        <rFont val="Calibri"/>
        <family val="2"/>
        <scheme val="minor"/>
      </rPr>
      <t>* Voor monumenten is de "Rekentool ISDE voor woningeigenaren van monumenten" beschikbaar.</t>
    </r>
  </si>
  <si>
    <r>
      <t>MKI-bonus 
per m</t>
    </r>
    <r>
      <rPr>
        <vertAlign val="superscript"/>
        <sz val="10"/>
        <color theme="1"/>
        <rFont val="Calibri"/>
        <family val="2"/>
        <scheme val="minor"/>
      </rPr>
      <t>2</t>
    </r>
    <r>
      <rPr>
        <sz val="10"/>
        <color theme="1"/>
        <rFont val="Calibri"/>
        <family val="2"/>
        <scheme val="minor"/>
      </rPr>
      <t xml:space="preserve"> (€)</t>
    </r>
  </si>
  <si>
    <t>Rekentool ISDE voor woningeigenaren (met uitzondering van monumenten*)</t>
  </si>
  <si>
    <t xml:space="preserve"> (versie april 2024) </t>
  </si>
  <si>
    <t>Vóór 1 januari 2024 én ≤ 24 maanden geleden</t>
  </si>
  <si>
    <t>Vóór 1 januari 2023 én ≤ 24 maanden geleden</t>
  </si>
  <si>
    <r>
      <t xml:space="preserve">Eerder ontvangen ISDE-subsidie voor maatregel </t>
    </r>
    <r>
      <rPr>
        <sz val="11"/>
        <rFont val="Calibri"/>
        <family val="2"/>
      </rPr>
      <t xml:space="preserve">≤ </t>
    </r>
    <r>
      <rPr>
        <sz val="11"/>
        <rFont val="Calibri"/>
        <family val="2"/>
        <scheme val="minor"/>
      </rPr>
      <t>24 maanden geleden uitgevoerd</t>
    </r>
  </si>
  <si>
    <t>Totaal aantal geselecteerde cateogorieën (&gt;1 = verdubbeling tarief)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</si>
</sst>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60">
    <font>
      <sz val="11"/>
      <color theme="1"/>
      <name val="Calibri"/>
      <family val="2"/>
      <scheme val="minor"/>
    </font>
    <font>
      <sz val="10"/>
      <color theme="1"/>
      <name val="Calibri"/>
      <family val="2"/>
      <scheme val="minor"/>
    </font>
    <font>
      <sz val="10"/>
      <color theme="1"/>
      <name val="Calibri"/>
      <family val="2"/>
      <scheme val="minor"/>
    </font>
    <font>
      <u/>
      <sz val="11"/>
      <color theme="10"/>
      <name val="Calibri"/>
      <family val="2"/>
      <scheme val="minor"/>
    </font>
    <font>
      <b/>
      <sz val="24"/>
      <name val="Sans"/>
    </font>
    <font>
      <sz val="12"/>
      <name val="Sans"/>
    </font>
    <font>
      <sz val="18"/>
      <name val="Sans"/>
    </font>
    <font>
      <u/>
      <sz val="11"/>
      <name val="Calibri"/>
      <family val="2"/>
      <scheme val="minor"/>
    </font>
    <font>
      <b/>
      <sz val="11"/>
      <color theme="1"/>
      <name val="Calibri"/>
      <family val="2"/>
      <scheme val="minor"/>
    </font>
    <font>
      <sz val="11"/>
      <color rgb="FFFF0000"/>
      <name val="Calibri"/>
      <family val="2"/>
      <scheme val="minor"/>
    </font>
    <font>
      <sz val="11"/>
      <color theme="1"/>
      <name val="Calibri"/>
      <family val="2"/>
    </font>
    <font>
      <sz val="8"/>
      <name val="Calibri"/>
      <family val="2"/>
      <scheme val="minor"/>
    </font>
    <font>
      <b/>
      <sz val="11"/>
      <color theme="1"/>
      <name val="Calibri"/>
      <family val="2"/>
    </font>
    <font>
      <vertAlign val="superscript"/>
      <sz val="11"/>
      <color theme="1"/>
      <name val="Calibri"/>
      <family val="2"/>
    </font>
    <font>
      <b/>
      <vertAlign val="superscript"/>
      <sz val="11"/>
      <color theme="1"/>
      <name val="Calibri"/>
      <family val="2"/>
      <scheme val="minor"/>
    </font>
    <font>
      <b/>
      <sz val="11"/>
      <color rgb="FFFF0000"/>
      <name val="Calibri"/>
      <family val="2"/>
      <scheme val="minor"/>
    </font>
    <font>
      <sz val="11"/>
      <name val="Calibri"/>
      <family val="2"/>
      <scheme val="minor"/>
    </font>
    <font>
      <b/>
      <sz val="11"/>
      <name val="Calibri"/>
      <family val="2"/>
      <scheme val="minor"/>
    </font>
    <font>
      <b/>
      <vertAlign val="superscript"/>
      <sz val="11"/>
      <color theme="1"/>
      <name val="Calibri"/>
      <family val="2"/>
    </font>
    <font>
      <vertAlign val="superscript"/>
      <sz val="11"/>
      <color theme="1"/>
      <name val="Calibri"/>
      <family val="2"/>
      <scheme val="minor"/>
    </font>
    <font>
      <sz val="11"/>
      <name val="Calibri"/>
      <family val="2"/>
    </font>
    <font>
      <b/>
      <sz val="14"/>
      <color theme="1"/>
      <name val="Calibri"/>
      <family val="2"/>
      <scheme val="minor"/>
    </font>
    <font>
      <b/>
      <sz val="12"/>
      <color rgb="FF000000"/>
      <name val="Sans"/>
    </font>
    <font>
      <b/>
      <sz val="14"/>
      <name val="Calibri"/>
      <family val="2"/>
      <scheme val="minor"/>
    </font>
    <font>
      <sz val="9"/>
      <color indexed="81"/>
      <name val="Tahoma"/>
      <family val="2"/>
    </font>
    <font>
      <b/>
      <sz val="9"/>
      <color indexed="81"/>
      <name val="Tahoma"/>
      <family val="2"/>
    </font>
    <font>
      <sz val="18"/>
      <color rgb="FF000000"/>
      <name val="Sans"/>
    </font>
    <font>
      <sz val="11"/>
      <color rgb="FF000000"/>
      <name val="Calibri"/>
      <family val="2"/>
    </font>
    <font>
      <sz val="11"/>
      <color rgb="FFC00000"/>
      <name val="Calibri"/>
      <family val="2"/>
      <scheme val="minor"/>
    </font>
    <font>
      <b/>
      <sz val="11"/>
      <color rgb="FFC00000"/>
      <name val="Calibri"/>
      <family val="2"/>
      <scheme val="minor"/>
    </font>
    <font>
      <b/>
      <sz val="11"/>
      <color rgb="FFD4351C"/>
      <name val="Calibri"/>
      <family val="2"/>
      <scheme val="minor"/>
    </font>
    <font>
      <sz val="11"/>
      <color theme="0"/>
      <name val="Calibri"/>
      <family val="2"/>
      <scheme val="minor"/>
    </font>
    <font>
      <sz val="8"/>
      <color rgb="FF000000"/>
      <name val="Segoe UI"/>
      <family val="2"/>
    </font>
    <font>
      <b/>
      <sz val="12"/>
      <color rgb="FFFF0000"/>
      <name val="Calibri"/>
      <family val="2"/>
      <scheme val="minor"/>
    </font>
    <font>
      <b/>
      <sz val="10"/>
      <color theme="1"/>
      <name val="Calibri"/>
      <family val="2"/>
      <scheme val="minor"/>
    </font>
    <font>
      <sz val="10"/>
      <color theme="0"/>
      <name val="Calibri"/>
      <family val="2"/>
      <scheme val="minor"/>
    </font>
    <font>
      <b/>
      <sz val="10"/>
      <color rgb="FFD4351C"/>
      <name val="Calibri"/>
      <family val="2"/>
      <scheme val="minor"/>
    </font>
    <font>
      <sz val="10"/>
      <color rgb="FF000000"/>
      <name val="Calibri"/>
      <family val="2"/>
    </font>
    <font>
      <sz val="16"/>
      <name val="Sans"/>
    </font>
    <font>
      <sz val="16"/>
      <color rgb="FF000000"/>
      <name val="Sans"/>
    </font>
    <font>
      <b/>
      <sz val="11"/>
      <color rgb="FF000000"/>
      <name val="Sans"/>
    </font>
    <font>
      <b/>
      <sz val="11"/>
      <name val="Sans"/>
    </font>
    <font>
      <vertAlign val="superscript"/>
      <sz val="10"/>
      <color theme="1"/>
      <name val="Calibri"/>
      <family val="2"/>
      <scheme val="minor"/>
    </font>
    <font>
      <sz val="10"/>
      <color theme="1"/>
      <name val="Calibri"/>
      <family val="2"/>
    </font>
    <font>
      <b/>
      <sz val="10"/>
      <color rgb="FFFF0000"/>
      <name val="Calibri"/>
      <family val="2"/>
      <scheme val="minor"/>
    </font>
    <font>
      <b/>
      <vertAlign val="superscript"/>
      <sz val="10"/>
      <color theme="1"/>
      <name val="Calibri"/>
      <family val="2"/>
      <scheme val="minor"/>
    </font>
    <font>
      <b/>
      <sz val="10"/>
      <color theme="1"/>
      <name val="Calibri"/>
      <family val="2"/>
    </font>
    <font>
      <sz val="10"/>
      <name val="Calibri"/>
      <family val="2"/>
      <scheme val="minor"/>
    </font>
    <font>
      <sz val="10"/>
      <name val="Calibri"/>
      <family val="2"/>
    </font>
    <font>
      <sz val="10"/>
      <name val="Sans"/>
    </font>
    <font>
      <sz val="10"/>
      <color rgb="FFC00000"/>
      <name val="Calibri"/>
      <family val="2"/>
      <scheme val="minor"/>
    </font>
    <font>
      <b/>
      <sz val="13"/>
      <color theme="1"/>
      <name val="Calibri"/>
      <family val="2"/>
      <scheme val="minor"/>
    </font>
    <font>
      <b/>
      <sz val="13"/>
      <color theme="1"/>
      <name val="Calibri"/>
      <family val="2"/>
    </font>
    <font>
      <b/>
      <sz val="22"/>
      <name val="Sans"/>
    </font>
    <font>
      <b/>
      <sz val="11"/>
      <color rgb="FF0070C0"/>
      <name val="Sans"/>
    </font>
    <font>
      <b/>
      <sz val="20"/>
      <color theme="1"/>
      <name val="Calibri"/>
      <family val="2"/>
      <scheme val="minor"/>
    </font>
    <font>
      <b/>
      <sz val="18"/>
      <color theme="1"/>
      <name val="Calibri"/>
      <family val="2"/>
      <scheme val="minor"/>
    </font>
    <font>
      <b/>
      <sz val="12"/>
      <color theme="1"/>
      <name val="Calibri"/>
      <family val="2"/>
      <scheme val="minor"/>
    </font>
    <font>
      <b/>
      <sz val="12"/>
      <color theme="1"/>
      <name val="Calibri"/>
      <family val="2"/>
    </font>
    <font>
      <i/>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8F8F8"/>
        <bgColor indexed="64"/>
      </patternFill>
    </fill>
    <fill>
      <patternFill patternType="solid">
        <fgColor rgb="FF007BC7"/>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3" fillId="0" borderId="0" applyNumberFormat="0" applyFill="0" applyBorder="0" applyAlignment="0" applyProtection="0"/>
  </cellStyleXfs>
  <cellXfs count="175">
    <xf numFmtId="0" fontId="0" fillId="0" borderId="0" xfId="0"/>
    <xf numFmtId="0" fontId="8" fillId="0" borderId="0" xfId="0" applyFont="1"/>
    <xf numFmtId="0" fontId="9" fillId="0" borderId="0" xfId="0" applyFont="1"/>
    <xf numFmtId="0" fontId="16" fillId="0" borderId="0" xfId="0" applyFont="1"/>
    <xf numFmtId="0" fontId="15" fillId="0" borderId="0" xfId="0" applyFont="1" applyAlignment="1">
      <alignment horizontal="left"/>
    </xf>
    <xf numFmtId="0" fontId="8" fillId="0" borderId="0" xfId="0" applyFont="1" applyAlignment="1">
      <alignment horizontal="left" wrapText="1"/>
    </xf>
    <xf numFmtId="0" fontId="8" fillId="0" borderId="0" xfId="0" applyFont="1" applyAlignment="1">
      <alignment horizontal="right" vertical="top" wrapText="1"/>
    </xf>
    <xf numFmtId="0" fontId="0" fillId="0" borderId="0" xfId="0" applyFill="1"/>
    <xf numFmtId="0" fontId="8" fillId="0" borderId="0" xfId="0" applyFont="1" applyAlignment="1">
      <alignment vertical="top"/>
    </xf>
    <xf numFmtId="0" fontId="0" fillId="0" borderId="0" xfId="0" applyFont="1"/>
    <xf numFmtId="0" fontId="17" fillId="0" borderId="0" xfId="0" applyFont="1"/>
    <xf numFmtId="0" fontId="15" fillId="0" borderId="0" xfId="0" applyFont="1"/>
    <xf numFmtId="0" fontId="0" fillId="0" borderId="0" xfId="0" applyAlignment="1">
      <alignment wrapText="1"/>
    </xf>
    <xf numFmtId="0" fontId="21" fillId="0" borderId="0" xfId="0" applyFont="1"/>
    <xf numFmtId="0" fontId="23" fillId="0" borderId="0" xfId="0" applyFont="1"/>
    <xf numFmtId="0" fontId="16" fillId="0" borderId="0" xfId="0" applyFont="1" applyFill="1"/>
    <xf numFmtId="0" fontId="0" fillId="2" borderId="0" xfId="0" applyFill="1" applyProtection="1"/>
    <xf numFmtId="0" fontId="0" fillId="0" borderId="0" xfId="0" applyAlignment="1">
      <alignment wrapText="1"/>
    </xf>
    <xf numFmtId="0" fontId="0" fillId="3" borderId="0" xfId="0" applyFill="1" applyProtection="1"/>
    <xf numFmtId="0" fontId="4" fillId="3" borderId="0" xfId="0" applyFont="1" applyFill="1" applyProtection="1"/>
    <xf numFmtId="0" fontId="7" fillId="3" borderId="0" xfId="1" applyFont="1" applyFill="1" applyAlignment="1" applyProtection="1">
      <alignment horizontal="left" vertical="center"/>
    </xf>
    <xf numFmtId="0" fontId="3" fillId="3" borderId="0" xfId="1" applyFill="1" applyAlignment="1" applyProtection="1">
      <alignment horizontal="left" vertical="center"/>
    </xf>
    <xf numFmtId="0" fontId="26" fillId="3" borderId="0" xfId="0" applyFont="1" applyFill="1" applyAlignment="1" applyProtection="1">
      <alignment vertical="center"/>
    </xf>
    <xf numFmtId="0" fontId="27" fillId="3" borderId="0" xfId="0" applyFont="1" applyFill="1" applyAlignment="1" applyProtection="1">
      <alignment vertical="center"/>
    </xf>
    <xf numFmtId="0" fontId="30" fillId="3" borderId="0" xfId="0" applyFont="1" applyFill="1" applyProtection="1"/>
    <xf numFmtId="0" fontId="16" fillId="3" borderId="0" xfId="0" applyFont="1" applyFill="1" applyProtection="1"/>
    <xf numFmtId="0" fontId="0" fillId="3" borderId="0" xfId="0" applyFill="1" applyBorder="1" applyProtection="1"/>
    <xf numFmtId="4" fontId="0" fillId="3" borderId="1" xfId="0" applyNumberFormat="1" applyFill="1" applyBorder="1" applyProtection="1"/>
    <xf numFmtId="0" fontId="0" fillId="3" borderId="0" xfId="0" applyFill="1" applyAlignment="1" applyProtection="1">
      <alignment horizontal="center"/>
    </xf>
    <xf numFmtId="0" fontId="0" fillId="3" borderId="0" xfId="0" applyFill="1" applyBorder="1" applyAlignment="1" applyProtection="1">
      <alignment horizontal="center"/>
    </xf>
    <xf numFmtId="3" fontId="0" fillId="3" borderId="0" xfId="0" applyNumberFormat="1" applyFill="1" applyBorder="1" applyProtection="1"/>
    <xf numFmtId="0" fontId="8" fillId="3" borderId="0" xfId="0" applyFont="1" applyFill="1" applyAlignment="1" applyProtection="1">
      <alignment vertical="center"/>
    </xf>
    <xf numFmtId="0" fontId="15" fillId="3" borderId="0" xfId="0" applyFont="1" applyFill="1" applyProtection="1"/>
    <xf numFmtId="0" fontId="15" fillId="3" borderId="0" xfId="0" applyFont="1" applyFill="1" applyBorder="1" applyProtection="1"/>
    <xf numFmtId="0" fontId="0" fillId="3" borderId="0" xfId="0" applyFill="1" applyAlignment="1" applyProtection="1">
      <alignment horizontal="left"/>
    </xf>
    <xf numFmtId="0" fontId="6" fillId="3" borderId="0" xfId="0" applyFont="1" applyFill="1" applyProtection="1"/>
    <xf numFmtId="0" fontId="9" fillId="3" borderId="0" xfId="0" applyFont="1" applyFill="1" applyProtection="1"/>
    <xf numFmtId="0" fontId="0" fillId="3" borderId="0" xfId="0" applyFill="1" applyAlignment="1" applyProtection="1"/>
    <xf numFmtId="0" fontId="28" fillId="3" borderId="0" xfId="0" applyFont="1" applyFill="1" applyProtection="1"/>
    <xf numFmtId="0" fontId="29" fillId="3" borderId="0" xfId="0" applyFont="1" applyFill="1" applyAlignment="1" applyProtection="1">
      <alignment wrapText="1"/>
    </xf>
    <xf numFmtId="0" fontId="28" fillId="3" borderId="0" xfId="0" applyFont="1" applyFill="1" applyBorder="1" applyAlignment="1" applyProtection="1">
      <alignment vertical="top"/>
    </xf>
    <xf numFmtId="0" fontId="0" fillId="3" borderId="0" xfId="0" applyFill="1" applyAlignment="1" applyProtection="1">
      <alignment vertical="top"/>
    </xf>
    <xf numFmtId="0" fontId="21" fillId="3" borderId="0" xfId="0" applyFont="1" applyFill="1" applyProtection="1"/>
    <xf numFmtId="0" fontId="10" fillId="0" borderId="0" xfId="0" applyFont="1"/>
    <xf numFmtId="1" fontId="16" fillId="0" borderId="0" xfId="0" applyNumberFormat="1" applyFont="1"/>
    <xf numFmtId="0" fontId="17" fillId="0" borderId="0" xfId="0" applyFont="1" applyAlignment="1">
      <alignment wrapText="1"/>
    </xf>
    <xf numFmtId="0" fontId="10" fillId="3" borderId="0" xfId="0" applyFont="1" applyFill="1" applyProtection="1"/>
    <xf numFmtId="0" fontId="15" fillId="0" borderId="0" xfId="0" applyFont="1" applyFill="1"/>
    <xf numFmtId="0" fontId="17" fillId="0" borderId="0" xfId="0" applyFont="1" applyFill="1" applyAlignment="1">
      <alignment wrapText="1"/>
    </xf>
    <xf numFmtId="0" fontId="8" fillId="0" borderId="0" xfId="0" applyFont="1" applyFill="1" applyAlignment="1">
      <alignment horizontal="left" wrapText="1"/>
    </xf>
    <xf numFmtId="0" fontId="9" fillId="0" borderId="0" xfId="0" applyFont="1" applyFill="1"/>
    <xf numFmtId="0" fontId="17" fillId="5" borderId="0" xfId="0" applyFont="1" applyFill="1"/>
    <xf numFmtId="0" fontId="8" fillId="5" borderId="0" xfId="0" applyFont="1" applyFill="1"/>
    <xf numFmtId="0" fontId="17" fillId="5" borderId="0" xfId="0" applyFont="1" applyFill="1" applyAlignment="1">
      <alignment horizontal="right"/>
    </xf>
    <xf numFmtId="0" fontId="8" fillId="5" borderId="0" xfId="0" applyFont="1" applyFill="1" applyAlignment="1">
      <alignment horizontal="right"/>
    </xf>
    <xf numFmtId="0" fontId="0" fillId="5" borderId="0" xfId="0" applyFont="1" applyFill="1"/>
    <xf numFmtId="0" fontId="0" fillId="5" borderId="0" xfId="0" applyFont="1" applyFill="1" applyAlignment="1">
      <alignment horizontal="right"/>
    </xf>
    <xf numFmtId="0" fontId="0" fillId="5" borderId="0" xfId="0" applyFill="1"/>
    <xf numFmtId="0" fontId="16" fillId="5" borderId="0" xfId="0" applyFont="1" applyFill="1"/>
    <xf numFmtId="4" fontId="0" fillId="3" borderId="0" xfId="0" applyNumberFormat="1" applyFill="1" applyBorder="1" applyProtection="1"/>
    <xf numFmtId="4" fontId="0" fillId="3" borderId="0" xfId="0" applyNumberFormat="1" applyFill="1" applyProtection="1"/>
    <xf numFmtId="0" fontId="16" fillId="5" borderId="0" xfId="0" applyFont="1" applyFill="1" applyAlignment="1">
      <alignment horizontal="right"/>
    </xf>
    <xf numFmtId="1" fontId="31" fillId="4" borderId="1" xfId="0" applyNumberFormat="1" applyFont="1" applyFill="1" applyBorder="1" applyProtection="1">
      <protection locked="0"/>
    </xf>
    <xf numFmtId="0" fontId="5" fillId="3" borderId="0" xfId="0" applyFont="1" applyFill="1" applyAlignment="1" applyProtection="1">
      <alignment vertical="center" wrapText="1"/>
    </xf>
    <xf numFmtId="0" fontId="0" fillId="3" borderId="0" xfId="0" applyFill="1" applyAlignment="1" applyProtection="1">
      <alignment vertical="top" wrapText="1"/>
    </xf>
    <xf numFmtId="0" fontId="16" fillId="3" borderId="0" xfId="0" applyFont="1" applyFill="1" applyAlignment="1" applyProtection="1">
      <alignment vertical="top" wrapText="1"/>
    </xf>
    <xf numFmtId="0" fontId="0" fillId="3" borderId="0" xfId="0" applyFill="1" applyAlignment="1" applyProtection="1">
      <alignment wrapText="1"/>
    </xf>
    <xf numFmtId="0" fontId="7" fillId="3" borderId="0" xfId="1" applyFont="1" applyFill="1" applyAlignment="1" applyProtection="1">
      <alignment horizontal="left" vertical="center" wrapText="1"/>
    </xf>
    <xf numFmtId="0" fontId="0" fillId="3" borderId="0" xfId="0" applyFill="1" applyAlignment="1" applyProtection="1">
      <alignment vertical="center"/>
    </xf>
    <xf numFmtId="0" fontId="22" fillId="3" borderId="0" xfId="0" applyFont="1" applyFill="1" applyAlignment="1" applyProtection="1">
      <alignment vertical="center" wrapText="1"/>
    </xf>
    <xf numFmtId="0" fontId="8" fillId="3" borderId="0" xfId="0" applyFont="1" applyFill="1" applyAlignment="1" applyProtection="1">
      <alignment wrapText="1"/>
    </xf>
    <xf numFmtId="0" fontId="2" fillId="3" borderId="0" xfId="0" applyFont="1" applyFill="1" applyProtection="1"/>
    <xf numFmtId="0" fontId="34" fillId="3" borderId="0" xfId="0" applyFont="1" applyFill="1" applyProtection="1"/>
    <xf numFmtId="0" fontId="34" fillId="3" borderId="0" xfId="0" applyFont="1" applyFill="1" applyAlignment="1" applyProtection="1">
      <alignment horizontal="left" vertical="center"/>
    </xf>
    <xf numFmtId="0" fontId="2" fillId="3" borderId="0" xfId="0" applyFont="1" applyFill="1" applyBorder="1" applyProtection="1"/>
    <xf numFmtId="0" fontId="37" fillId="3" borderId="0" xfId="0" applyFont="1" applyFill="1" applyAlignment="1" applyProtection="1">
      <alignment vertical="center"/>
    </xf>
    <xf numFmtId="0" fontId="38" fillId="3" borderId="0" xfId="0" applyFont="1" applyFill="1" applyAlignment="1" applyProtection="1">
      <alignment vertical="center"/>
    </xf>
    <xf numFmtId="0" fontId="39" fillId="3" borderId="0" xfId="0" applyFont="1" applyFill="1" applyAlignment="1" applyProtection="1">
      <alignment vertical="center"/>
    </xf>
    <xf numFmtId="0" fontId="41" fillId="3" borderId="0" xfId="0" applyFont="1" applyFill="1" applyAlignment="1" applyProtection="1">
      <alignment vertical="center"/>
    </xf>
    <xf numFmtId="0" fontId="2" fillId="3" borderId="0" xfId="0" applyFont="1" applyFill="1" applyAlignment="1" applyProtection="1">
      <alignment vertical="center" wrapText="1"/>
    </xf>
    <xf numFmtId="0" fontId="2" fillId="3" borderId="0" xfId="0" applyFont="1" applyFill="1" applyAlignment="1" applyProtection="1">
      <alignment vertical="top" wrapText="1"/>
    </xf>
    <xf numFmtId="0" fontId="2" fillId="3" borderId="0" xfId="0" applyFont="1" applyFill="1" applyAlignment="1" applyProtection="1">
      <alignment horizontal="left" vertical="top" wrapText="1"/>
    </xf>
    <xf numFmtId="0" fontId="2" fillId="3" borderId="1" xfId="0" applyFont="1" applyFill="1" applyBorder="1" applyAlignment="1" applyProtection="1">
      <alignment horizontal="center"/>
    </xf>
    <xf numFmtId="43" fontId="2" fillId="3" borderId="1" xfId="0" applyNumberFormat="1" applyFont="1" applyFill="1" applyBorder="1" applyAlignment="1" applyProtection="1"/>
    <xf numFmtId="0" fontId="35" fillId="4" borderId="1" xfId="0" applyFont="1" applyFill="1" applyBorder="1" applyAlignment="1" applyProtection="1">
      <alignment horizontal="right"/>
      <protection locked="0"/>
    </xf>
    <xf numFmtId="0" fontId="2" fillId="3" borderId="1" xfId="0" applyFont="1" applyFill="1" applyBorder="1" applyProtection="1"/>
    <xf numFmtId="4" fontId="2" fillId="3" borderId="1" xfId="0" applyNumberFormat="1" applyFont="1" applyFill="1" applyBorder="1" applyProtection="1"/>
    <xf numFmtId="0" fontId="2" fillId="3" borderId="0" xfId="0" applyFont="1" applyFill="1" applyBorder="1" applyAlignment="1" applyProtection="1">
      <alignment horizontal="center"/>
    </xf>
    <xf numFmtId="43" fontId="2" fillId="3" borderId="0" xfId="0" applyNumberFormat="1" applyFont="1" applyFill="1" applyBorder="1" applyAlignment="1" applyProtection="1"/>
    <xf numFmtId="4" fontId="2" fillId="3" borderId="0" xfId="0" applyNumberFormat="1" applyFont="1" applyFill="1" applyBorder="1" applyProtection="1"/>
    <xf numFmtId="0" fontId="2" fillId="3" borderId="0" xfId="0" applyFont="1" applyFill="1" applyAlignment="1" applyProtection="1">
      <alignment horizontal="center"/>
    </xf>
    <xf numFmtId="3" fontId="2" fillId="3" borderId="0" xfId="0" applyNumberFormat="1" applyFont="1" applyFill="1" applyBorder="1" applyProtection="1"/>
    <xf numFmtId="0" fontId="2" fillId="3" borderId="0" xfId="0" applyFont="1" applyFill="1" applyAlignment="1" applyProtection="1">
      <alignment wrapText="1"/>
    </xf>
    <xf numFmtId="0" fontId="44" fillId="3" borderId="0" xfId="0" applyFont="1" applyFill="1" applyBorder="1" applyProtection="1"/>
    <xf numFmtId="0" fontId="2" fillId="3" borderId="0" xfId="0" applyFont="1" applyFill="1" applyAlignment="1" applyProtection="1">
      <alignment horizontal="left" wrapText="1"/>
    </xf>
    <xf numFmtId="0" fontId="2" fillId="3" borderId="0" xfId="0" applyFont="1" applyFill="1" applyBorder="1" applyAlignment="1" applyProtection="1">
      <alignment wrapText="1"/>
    </xf>
    <xf numFmtId="0" fontId="35" fillId="4" borderId="1" xfId="0" applyNumberFormat="1" applyFont="1" applyFill="1" applyBorder="1" applyProtection="1">
      <protection locked="0"/>
    </xf>
    <xf numFmtId="0" fontId="2" fillId="3" borderId="0" xfId="0" applyNumberFormat="1" applyFont="1" applyFill="1" applyBorder="1" applyProtection="1"/>
    <xf numFmtId="0" fontId="34" fillId="3" borderId="0" xfId="0" applyFont="1" applyFill="1" applyAlignment="1" applyProtection="1">
      <alignment horizontal="right"/>
    </xf>
    <xf numFmtId="0" fontId="2" fillId="3" borderId="0" xfId="0" applyFont="1" applyFill="1" applyAlignment="1" applyProtection="1">
      <alignment horizontal="left"/>
    </xf>
    <xf numFmtId="0" fontId="2" fillId="3" borderId="0" xfId="0" applyFont="1" applyFill="1" applyAlignment="1" applyProtection="1">
      <alignment horizontal="right"/>
    </xf>
    <xf numFmtId="0" fontId="34" fillId="3" borderId="0" xfId="0" applyFont="1" applyFill="1" applyAlignment="1" applyProtection="1">
      <alignment horizontal="left"/>
    </xf>
    <xf numFmtId="0" fontId="47" fillId="3" borderId="0" xfId="0" applyFont="1" applyFill="1" applyProtection="1"/>
    <xf numFmtId="0" fontId="38" fillId="3" borderId="0" xfId="0" applyFont="1" applyFill="1" applyProtection="1"/>
    <xf numFmtId="0" fontId="47" fillId="3" borderId="0" xfId="0" applyFont="1" applyFill="1" applyAlignment="1" applyProtection="1">
      <alignment vertical="top" wrapText="1"/>
    </xf>
    <xf numFmtId="0" fontId="49" fillId="3" borderId="0" xfId="0" applyFont="1" applyFill="1" applyProtection="1"/>
    <xf numFmtId="0" fontId="50" fillId="3" borderId="0" xfId="0" applyFont="1" applyFill="1" applyAlignment="1" applyProtection="1">
      <alignment wrapText="1"/>
    </xf>
    <xf numFmtId="4" fontId="51" fillId="3" borderId="1" xfId="0" applyNumberFormat="1" applyFont="1" applyFill="1" applyBorder="1" applyProtection="1"/>
    <xf numFmtId="0" fontId="51" fillId="3" borderId="0" xfId="0" applyFont="1" applyFill="1" applyProtection="1"/>
    <xf numFmtId="0" fontId="36" fillId="3" borderId="0" xfId="0" applyFont="1" applyFill="1" applyProtection="1"/>
    <xf numFmtId="0" fontId="36" fillId="3" borderId="0" xfId="0" applyFont="1" applyFill="1" applyAlignment="1" applyProtection="1">
      <alignment vertical="top" wrapText="1"/>
    </xf>
    <xf numFmtId="0" fontId="46" fillId="3" borderId="0" xfId="0" applyFont="1" applyFill="1" applyProtection="1"/>
    <xf numFmtId="0" fontId="44" fillId="3" borderId="0" xfId="0" applyFont="1" applyFill="1" applyProtection="1"/>
    <xf numFmtId="0" fontId="2" fillId="3" borderId="0" xfId="0" applyFont="1" applyFill="1" applyAlignment="1" applyProtection="1">
      <alignment vertical="top"/>
    </xf>
    <xf numFmtId="0" fontId="47" fillId="3" borderId="0" xfId="0" applyFont="1" applyFill="1" applyBorder="1" applyAlignment="1" applyProtection="1">
      <alignment vertical="top"/>
    </xf>
    <xf numFmtId="0" fontId="53" fillId="3" borderId="0" xfId="0" applyFont="1" applyFill="1" applyProtection="1"/>
    <xf numFmtId="0" fontId="35" fillId="3" borderId="0" xfId="0" applyFont="1" applyFill="1" applyBorder="1" applyAlignment="1" applyProtection="1">
      <alignment horizontal="right"/>
    </xf>
    <xf numFmtId="0" fontId="35" fillId="3" borderId="0" xfId="0" applyNumberFormat="1" applyFont="1" applyFill="1" applyBorder="1" applyProtection="1"/>
    <xf numFmtId="0" fontId="0" fillId="3" borderId="0" xfId="0" applyFill="1" applyBorder="1"/>
    <xf numFmtId="0" fontId="0" fillId="3" borderId="0" xfId="0" applyFill="1"/>
    <xf numFmtId="0" fontId="55" fillId="3" borderId="0" xfId="0" applyFont="1" applyFill="1"/>
    <xf numFmtId="4" fontId="0" fillId="3" borderId="0" xfId="0" applyNumberFormat="1" applyFill="1" applyBorder="1"/>
    <xf numFmtId="0" fontId="0" fillId="3" borderId="5" xfId="0" applyFill="1" applyBorder="1"/>
    <xf numFmtId="0" fontId="0" fillId="3" borderId="6" xfId="0" applyFill="1" applyBorder="1"/>
    <xf numFmtId="4" fontId="0" fillId="3" borderId="6" xfId="0" applyNumberFormat="1" applyFill="1" applyBorder="1"/>
    <xf numFmtId="0" fontId="0" fillId="3" borderId="7" xfId="0" applyFill="1" applyBorder="1"/>
    <xf numFmtId="4" fontId="0" fillId="3" borderId="7" xfId="0" applyNumberFormat="1" applyFill="1" applyBorder="1"/>
    <xf numFmtId="0" fontId="0" fillId="3" borderId="7" xfId="0" applyFill="1" applyBorder="1" applyAlignment="1">
      <alignment vertical="center"/>
    </xf>
    <xf numFmtId="0" fontId="0" fillId="3" borderId="6" xfId="0" applyFill="1" applyBorder="1" applyAlignment="1">
      <alignment vertical="center"/>
    </xf>
    <xf numFmtId="0" fontId="0" fillId="3" borderId="5" xfId="0" applyFill="1" applyBorder="1" applyAlignment="1">
      <alignment vertical="center"/>
    </xf>
    <xf numFmtId="0" fontId="0" fillId="3" borderId="0" xfId="0" applyFill="1" applyBorder="1" applyAlignment="1">
      <alignment vertical="center"/>
    </xf>
    <xf numFmtId="0" fontId="0" fillId="3" borderId="7" xfId="0" applyFill="1" applyBorder="1" applyAlignment="1">
      <alignment horizontal="right" vertical="center"/>
    </xf>
    <xf numFmtId="4" fontId="0" fillId="3" borderId="7" xfId="0" applyNumberFormat="1" applyFill="1" applyBorder="1" applyAlignment="1">
      <alignment vertical="center"/>
    </xf>
    <xf numFmtId="4" fontId="0" fillId="3" borderId="6" xfId="0" applyNumberFormat="1" applyFill="1" applyBorder="1" applyAlignment="1">
      <alignment vertical="center"/>
    </xf>
    <xf numFmtId="4" fontId="0" fillId="3" borderId="5" xfId="0" applyNumberFormat="1" applyFill="1" applyBorder="1" applyAlignment="1">
      <alignment vertical="center"/>
    </xf>
    <xf numFmtId="1" fontId="0" fillId="3" borderId="6" xfId="0" applyNumberFormat="1" applyFill="1" applyBorder="1" applyAlignment="1">
      <alignment horizontal="right"/>
    </xf>
    <xf numFmtId="4" fontId="0" fillId="3" borderId="0" xfId="0" applyNumberFormat="1" applyFill="1" applyBorder="1" applyAlignment="1">
      <alignment vertical="center"/>
    </xf>
    <xf numFmtId="0" fontId="56" fillId="3" borderId="0" xfId="0" applyFont="1" applyFill="1"/>
    <xf numFmtId="4" fontId="56" fillId="3" borderId="0" xfId="0" applyNumberFormat="1" applyFont="1" applyFill="1"/>
    <xf numFmtId="0" fontId="57" fillId="3" borderId="0" xfId="0" applyFont="1" applyFill="1" applyBorder="1"/>
    <xf numFmtId="0" fontId="57" fillId="3" borderId="0" xfId="0" applyFont="1" applyFill="1" applyBorder="1" applyAlignment="1">
      <alignment vertical="center"/>
    </xf>
    <xf numFmtId="0" fontId="57" fillId="3" borderId="0" xfId="0" applyFont="1" applyFill="1" applyBorder="1" applyAlignment="1">
      <alignment horizontal="right"/>
    </xf>
    <xf numFmtId="1" fontId="0" fillId="3" borderId="7" xfId="0" applyNumberFormat="1" applyFill="1" applyBorder="1" applyAlignment="1">
      <alignment horizontal="right"/>
    </xf>
    <xf numFmtId="1" fontId="0" fillId="3" borderId="5" xfId="0" applyNumberFormat="1" applyFill="1" applyBorder="1" applyAlignment="1">
      <alignment horizontal="right"/>
    </xf>
    <xf numFmtId="0" fontId="57" fillId="3" borderId="5" xfId="0" applyFont="1" applyFill="1" applyBorder="1"/>
    <xf numFmtId="0" fontId="33" fillId="0" borderId="0" xfId="0" applyFont="1" applyFill="1"/>
    <xf numFmtId="0" fontId="47" fillId="3" borderId="0" xfId="0" applyNumberFormat="1" applyFont="1" applyFill="1" applyBorder="1" applyAlignment="1" applyProtection="1">
      <alignment horizontal="center" vertical="center" wrapText="1"/>
    </xf>
    <xf numFmtId="0" fontId="2" fillId="3" borderId="0" xfId="0" applyFont="1" applyFill="1" applyBorder="1" applyAlignment="1" applyProtection="1"/>
    <xf numFmtId="2" fontId="2" fillId="3" borderId="1" xfId="0" applyNumberFormat="1" applyFont="1" applyFill="1" applyBorder="1" applyProtection="1"/>
    <xf numFmtId="0" fontId="47" fillId="3" borderId="0" xfId="0" applyFont="1" applyFill="1" applyAlignment="1" applyProtection="1">
      <alignment vertical="top" wrapText="1"/>
    </xf>
    <xf numFmtId="0" fontId="2" fillId="3" borderId="0" xfId="0" applyFont="1" applyFill="1" applyAlignment="1" applyProtection="1">
      <alignment vertical="top" wrapText="1"/>
    </xf>
    <xf numFmtId="0" fontId="16" fillId="3" borderId="0" xfId="0" applyFont="1" applyFill="1" applyAlignment="1" applyProtection="1">
      <alignment vertical="top" wrapText="1"/>
    </xf>
    <xf numFmtId="0" fontId="0" fillId="3" borderId="0" xfId="0" applyFill="1" applyAlignment="1" applyProtection="1">
      <alignment vertical="top" wrapText="1"/>
    </xf>
    <xf numFmtId="0" fontId="7" fillId="3" borderId="0" xfId="1" applyFont="1" applyFill="1" applyAlignment="1" applyProtection="1">
      <alignment horizontal="left" vertical="center" wrapText="1"/>
    </xf>
    <xf numFmtId="0" fontId="0" fillId="3" borderId="0" xfId="0" applyFill="1" applyAlignment="1" applyProtection="1">
      <alignment vertical="center"/>
    </xf>
    <xf numFmtId="0" fontId="36" fillId="3" borderId="0" xfId="0" applyFont="1" applyFill="1" applyAlignment="1" applyProtection="1">
      <alignment vertical="top" wrapText="1"/>
    </xf>
    <xf numFmtId="0" fontId="40" fillId="3" borderId="0" xfId="0" applyFont="1" applyFill="1" applyAlignment="1" applyProtection="1">
      <alignment vertical="center" wrapText="1"/>
    </xf>
    <xf numFmtId="0" fontId="8" fillId="3" borderId="0" xfId="0" applyFont="1" applyFill="1" applyAlignment="1" applyProtection="1">
      <alignment wrapText="1"/>
    </xf>
    <xf numFmtId="0" fontId="0" fillId="0" borderId="0" xfId="0" applyFont="1" applyAlignment="1" applyProtection="1">
      <alignment wrapText="1"/>
    </xf>
    <xf numFmtId="0" fontId="2" fillId="0" borderId="0" xfId="0" applyFont="1" applyAlignment="1" applyProtection="1">
      <alignment wrapText="1"/>
    </xf>
    <xf numFmtId="0" fontId="0" fillId="3" borderId="0" xfId="0" applyFill="1" applyAlignment="1" applyProtection="1">
      <alignment wrapText="1"/>
    </xf>
    <xf numFmtId="0" fontId="0" fillId="0" borderId="0" xfId="0" applyAlignment="1">
      <alignment wrapText="1"/>
    </xf>
    <xf numFmtId="0" fontId="2" fillId="3" borderId="0" xfId="0" applyFont="1" applyFill="1" applyAlignment="1" applyProtection="1">
      <alignment vertical="center" wrapText="1"/>
    </xf>
    <xf numFmtId="0" fontId="2" fillId="3" borderId="0" xfId="0" applyFont="1" applyFill="1" applyAlignment="1" applyProtection="1">
      <alignment wrapText="1"/>
    </xf>
    <xf numFmtId="0" fontId="16" fillId="3" borderId="0" xfId="0" applyFont="1" applyFill="1" applyAlignment="1" applyProtection="1">
      <alignment vertical="center" wrapText="1"/>
    </xf>
    <xf numFmtId="0" fontId="16" fillId="3" borderId="0" xfId="0" applyFont="1" applyFill="1" applyAlignment="1" applyProtection="1">
      <alignment wrapText="1"/>
    </xf>
    <xf numFmtId="0" fontId="5" fillId="3" borderId="0" xfId="0" applyFont="1" applyFill="1" applyAlignment="1" applyProtection="1">
      <alignment vertical="center" wrapText="1"/>
    </xf>
    <xf numFmtId="0" fontId="0" fillId="3" borderId="0" xfId="0" applyFont="1" applyFill="1" applyAlignment="1" applyProtection="1">
      <alignment wrapText="1"/>
    </xf>
    <xf numFmtId="0" fontId="2" fillId="3" borderId="0" xfId="0" applyFont="1" applyFill="1" applyBorder="1" applyAlignment="1" applyProtection="1">
      <alignment wrapText="1"/>
    </xf>
    <xf numFmtId="0" fontId="47" fillId="3" borderId="2" xfId="0" applyNumberFormat="1" applyFont="1" applyFill="1" applyBorder="1" applyAlignment="1" applyProtection="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8" fillId="0" borderId="0" xfId="0" applyFont="1" applyAlignment="1">
      <alignment wrapText="1"/>
    </xf>
    <xf numFmtId="0" fontId="15" fillId="0" borderId="0" xfId="0" applyFont="1" applyAlignment="1">
      <alignment wrapText="1"/>
    </xf>
    <xf numFmtId="0" fontId="8" fillId="0" borderId="0" xfId="0" applyFont="1" applyAlignment="1"/>
  </cellXfs>
  <cellStyles count="2">
    <cellStyle name="Hyperlink" xfId="1" builtinId="8"/>
    <cellStyle name="Standaard" xfId="0" builtinId="0"/>
  </cellStyles>
  <dxfs count="2">
    <dxf>
      <fill>
        <patternFill>
          <bgColor rgb="FFF8F8F8"/>
        </patternFill>
      </fill>
      <border>
        <left/>
        <right/>
        <top/>
        <bottom/>
        <vertical/>
        <horizontal/>
      </border>
    </dxf>
    <dxf>
      <fill>
        <patternFill>
          <bgColor rgb="FFF8F8F8"/>
        </patternFill>
      </fill>
    </dxf>
  </dxfs>
  <tableStyles count="0" defaultTableStyle="TableStyleMedium2" defaultPivotStyle="PivotStyleLight16"/>
  <colors>
    <mruColors>
      <color rgb="FFF8F8F8"/>
      <color rgb="FFD4351C"/>
      <color rgb="FF007BC7"/>
      <color rgb="FFFFB612"/>
      <color rgb="FF8FCAE7"/>
      <color rgb="FFFFE9B7"/>
      <color rgb="FFEEF7FB"/>
      <color rgb="FFF3F3F3"/>
      <color rgb="FFE1F3F9"/>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Hulpblad!$B$14" lockText="1"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Radio" checked="Checked" firstButton="1" fmlaLink="Hulpblad!$C$55"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Hulpblad!$C$59"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Radio" checked="Checked" firstButton="1" fmlaLink="Hulpblad!$C$63"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checked="Checked" firstButton="1" fmlaLink="Hulpblad!$B$23"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Radio" checked="Checked" firstButton="1" fmlaLink="Hulpblad!$G$43"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Radio" checked="Checked" firstButton="1" fmlaLink="Hulpblad!$G$47"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Radio" checked="Checked" firstButton="1" fmlaLink="Hulpblad!$G$51"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Radio" checked="Checked" firstButton="1" fmlaLink="Hulpblad!$G$55"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checked="Checked" firstButton="1" fmlaLink="Hulpblad!$G$59"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Hulpblad!$E$24"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checked="Checked" firstButton="1" fmlaLink="Hulpblad!$G$63"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CheckBox" fmlaLink="Hulpblad!$B$32"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checked="Checked" firstButton="1" fmlaLink="Hulpblad!$B$29"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checked="Checked" firstButton="1" fmlaLink="Hulpblad!$E$29"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checked="Checked" firstButton="1" fmlaLink="Hulpblad!$B$100"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checked="Checked" firstButton="1" fmlaLink="Hulpblad!$B$108"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firstButton="1" fmlaLink="Hulpblad!$B$4"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Hulpblad!$E$14"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fmlaLink="Hulpblad!$B$33" lockText="1" noThreeD="1"/>
</file>

<file path=xl/ctrlProps/ctrlProp55.xml><?xml version="1.0" encoding="utf-8"?>
<formControlPr xmlns="http://schemas.microsoft.com/office/spreadsheetml/2009/9/main" objectType="CheckBox" fmlaLink="Hulpblad!$B$34" lockText="1" noThreeD="1"/>
</file>

<file path=xl/ctrlProps/ctrlProp56.xml><?xml version="1.0" encoding="utf-8"?>
<formControlPr xmlns="http://schemas.microsoft.com/office/spreadsheetml/2009/9/main" objectType="CheckBox" fmlaLink="Hulpblad!$B$35" lockText="1" noThreeD="1"/>
</file>

<file path=xl/ctrlProps/ctrlProp57.xml><?xml version="1.0" encoding="utf-8"?>
<formControlPr xmlns="http://schemas.microsoft.com/office/spreadsheetml/2009/9/main" objectType="Radio" checked="Checked" firstButton="1" fmlaLink="Hulpblad!$B$114"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fmlaLink="Hulpblad!B18"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checked="Checked" firstButton="1" fmlaLink="Hulpblad!$B$128"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checked="Checked" firstButton="1" fmlaLink="Hulpblad!$B$141"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Radio" checked="Checked" firstButton="1" fmlaLink="Hulpblad!$B$146"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checked="Checked" firstButton="1" fmlaLink="Hulpblad!$B$134"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Radio" checked="Checked" firstButton="1" fmlaLink="Hulpblad!$B$154"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Hulpblad!$E$19"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Radio" checked="Checked" firstButton="1" fmlaLink="Hulpblad!$E$154"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Radio" checked="Checked" firstButton="1" fmlaLink="Hulpblad!$H$154"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Hulpblad!$K$154"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checked="Checked" firstButton="1" fmlaLink="Hulpblad!$B$40"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Hulpblad!$C$43"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Radio" checked="Checked" firstButton="1" fmlaLink="Hulpblad!$C$47"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checked="Checked" firstButton="1" fmlaLink="Hulpblad!$C$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1693832</xdr:colOff>
      <xdr:row>0</xdr:row>
      <xdr:rowOff>0</xdr:rowOff>
    </xdr:from>
    <xdr:to>
      <xdr:col>12</xdr:col>
      <xdr:colOff>676290</xdr:colOff>
      <xdr:row>1</xdr:row>
      <xdr:rowOff>9484</xdr:rowOff>
    </xdr:to>
    <xdr:pic>
      <xdr:nvPicPr>
        <xdr:cNvPr id="3" name="Afbeelding 2" descr="Logo Rijksdienst voor Ondernemend Nederland">
          <a:extLst>
            <a:ext uri="{FF2B5EF4-FFF2-40B4-BE49-F238E27FC236}">
              <a16:creationId xmlns:a16="http://schemas.microsoft.com/office/drawing/2014/main" id="{00000000-0008-0000-0000-000003000000}"/>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a:stretch>
          <a:fillRect/>
        </a:stretch>
      </xdr:blipFill>
      <xdr:spPr>
        <a:xfrm>
          <a:off x="4620605" y="0"/>
          <a:ext cx="8137426" cy="173264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19050</xdr:colOff>
          <xdr:row>28</xdr:row>
          <xdr:rowOff>0</xdr:rowOff>
        </xdr:from>
        <xdr:to>
          <xdr:col>2</xdr:col>
          <xdr:colOff>2266950</xdr:colOff>
          <xdr:row>28</xdr:row>
          <xdr:rowOff>180975</xdr:rowOff>
        </xdr:to>
        <xdr:sp macro="" textlink="">
          <xdr:nvSpPr>
            <xdr:cNvPr id="1133" name="Option Button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CC9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Geen dakisolatie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2</xdr:col>
          <xdr:colOff>2695575</xdr:colOff>
          <xdr:row>31</xdr:row>
          <xdr:rowOff>57150</xdr:rowOff>
        </xdr:to>
        <xdr:sp macro="" textlink="">
          <xdr:nvSpPr>
            <xdr:cNvPr id="1136" name="Group Box 112" descr="Dakisolatie"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Dakisolatie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285750</xdr:rowOff>
        </xdr:from>
        <xdr:to>
          <xdr:col>2</xdr:col>
          <xdr:colOff>2695575</xdr:colOff>
          <xdr:row>21</xdr:row>
          <xdr:rowOff>47625</xdr:rowOff>
        </xdr:to>
        <xdr:sp macro="" textlink="">
          <xdr:nvSpPr>
            <xdr:cNvPr id="1141" name="Group Box 117" descr="Dakisolatie"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Opgave eerder ontvangen ISDE-subsidie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9525</xdr:rowOff>
        </xdr:from>
        <xdr:to>
          <xdr:col>2</xdr:col>
          <xdr:colOff>2352675</xdr:colOff>
          <xdr:row>18</xdr:row>
          <xdr:rowOff>190500</xdr:rowOff>
        </xdr:to>
        <xdr:sp macro="" textlink="">
          <xdr:nvSpPr>
            <xdr:cNvPr id="1142" name="Option Button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CC9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 ik heb niet eerder ISDE-subsidie ontvangen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27</xdr:row>
          <xdr:rowOff>171450</xdr:rowOff>
        </xdr:from>
        <xdr:to>
          <xdr:col>4</xdr:col>
          <xdr:colOff>2495550</xdr:colOff>
          <xdr:row>29</xdr:row>
          <xdr:rowOff>0</xdr:rowOff>
        </xdr:to>
        <xdr:sp macro="" textlink="">
          <xdr:nvSpPr>
            <xdr:cNvPr id="1145" name="Option Button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34</xdr:row>
          <xdr:rowOff>9525</xdr:rowOff>
        </xdr:from>
        <xdr:to>
          <xdr:col>2</xdr:col>
          <xdr:colOff>2324100</xdr:colOff>
          <xdr:row>35</xdr:row>
          <xdr:rowOff>0</xdr:rowOff>
        </xdr:to>
        <xdr:sp macro="" textlink="">
          <xdr:nvSpPr>
            <xdr:cNvPr id="1152" name="Option Button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Geen gevelisolatie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2695575</xdr:colOff>
          <xdr:row>36</xdr:row>
          <xdr:rowOff>85725</xdr:rowOff>
        </xdr:to>
        <xdr:sp macro="" textlink="">
          <xdr:nvSpPr>
            <xdr:cNvPr id="1157" name="Group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Gevelisolatie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33</xdr:row>
          <xdr:rowOff>171450</xdr:rowOff>
        </xdr:from>
        <xdr:to>
          <xdr:col>4</xdr:col>
          <xdr:colOff>2390775</xdr:colOff>
          <xdr:row>35</xdr:row>
          <xdr:rowOff>9525</xdr:rowOff>
        </xdr:to>
        <xdr:sp macro="" textlink="">
          <xdr:nvSpPr>
            <xdr:cNvPr id="1180" name="Option Button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27</xdr:row>
          <xdr:rowOff>0</xdr:rowOff>
        </xdr:from>
        <xdr:to>
          <xdr:col>4</xdr:col>
          <xdr:colOff>2705100</xdr:colOff>
          <xdr:row>31</xdr:row>
          <xdr:rowOff>57150</xdr:rowOff>
        </xdr:to>
        <xdr:sp macro="" textlink="">
          <xdr:nvSpPr>
            <xdr:cNvPr id="1186" name="Group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Dakisolatie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0</xdr:rowOff>
        </xdr:from>
        <xdr:to>
          <xdr:col>4</xdr:col>
          <xdr:colOff>2695575</xdr:colOff>
          <xdr:row>37</xdr:row>
          <xdr:rowOff>57150</xdr:rowOff>
        </xdr:to>
        <xdr:sp macro="" textlink="">
          <xdr:nvSpPr>
            <xdr:cNvPr id="1187" name="Group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Gevelisolatie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39</xdr:row>
          <xdr:rowOff>180975</xdr:rowOff>
        </xdr:from>
        <xdr:to>
          <xdr:col>2</xdr:col>
          <xdr:colOff>2428875</xdr:colOff>
          <xdr:row>41</xdr:row>
          <xdr:rowOff>19050</xdr:rowOff>
        </xdr:to>
        <xdr:sp macro="" textlink="">
          <xdr:nvSpPr>
            <xdr:cNvPr id="1188" name="Option Button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Geen spouwmuurisolatie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2</xdr:col>
          <xdr:colOff>2695575</xdr:colOff>
          <xdr:row>42</xdr:row>
          <xdr:rowOff>104775</xdr:rowOff>
        </xdr:to>
        <xdr:sp macro="" textlink="">
          <xdr:nvSpPr>
            <xdr:cNvPr id="1190" name="Group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Spouwmuurisolatie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39</xdr:row>
          <xdr:rowOff>180975</xdr:rowOff>
        </xdr:from>
        <xdr:to>
          <xdr:col>4</xdr:col>
          <xdr:colOff>2505075</xdr:colOff>
          <xdr:row>41</xdr:row>
          <xdr:rowOff>9525</xdr:rowOff>
        </xdr:to>
        <xdr:sp macro="" textlink="">
          <xdr:nvSpPr>
            <xdr:cNvPr id="1191" name="Option Button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0</xdr:rowOff>
        </xdr:from>
        <xdr:to>
          <xdr:col>4</xdr:col>
          <xdr:colOff>2695575</xdr:colOff>
          <xdr:row>43</xdr:row>
          <xdr:rowOff>57150</xdr:rowOff>
        </xdr:to>
        <xdr:sp macro="" textlink="">
          <xdr:nvSpPr>
            <xdr:cNvPr id="1195" name="Group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Spouwmuurisolatie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45</xdr:row>
          <xdr:rowOff>180975</xdr:rowOff>
        </xdr:from>
        <xdr:to>
          <xdr:col>2</xdr:col>
          <xdr:colOff>2295525</xdr:colOff>
          <xdr:row>47</xdr:row>
          <xdr:rowOff>9525</xdr:rowOff>
        </xdr:to>
        <xdr:sp macro="" textlink="">
          <xdr:nvSpPr>
            <xdr:cNvPr id="1197" name="Option Button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Geen vloerisolatie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0</xdr:rowOff>
        </xdr:from>
        <xdr:to>
          <xdr:col>2</xdr:col>
          <xdr:colOff>2695575</xdr:colOff>
          <xdr:row>49</xdr:row>
          <xdr:rowOff>57150</xdr:rowOff>
        </xdr:to>
        <xdr:sp macro="" textlink="">
          <xdr:nvSpPr>
            <xdr:cNvPr id="1200" name="Group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Vloerisolatie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45</xdr:row>
          <xdr:rowOff>171450</xdr:rowOff>
        </xdr:from>
        <xdr:to>
          <xdr:col>4</xdr:col>
          <xdr:colOff>2409825</xdr:colOff>
          <xdr:row>47</xdr:row>
          <xdr:rowOff>9525</xdr:rowOff>
        </xdr:to>
        <xdr:sp macro="" textlink="">
          <xdr:nvSpPr>
            <xdr:cNvPr id="1201" name="Option Button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0</xdr:rowOff>
        </xdr:from>
        <xdr:to>
          <xdr:col>4</xdr:col>
          <xdr:colOff>2695575</xdr:colOff>
          <xdr:row>49</xdr:row>
          <xdr:rowOff>57150</xdr:rowOff>
        </xdr:to>
        <xdr:sp macro="" textlink="">
          <xdr:nvSpPr>
            <xdr:cNvPr id="1205" name="Group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Vloerisolatie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109</xdr:row>
          <xdr:rowOff>171450</xdr:rowOff>
        </xdr:from>
        <xdr:to>
          <xdr:col>2</xdr:col>
          <xdr:colOff>2447925</xdr:colOff>
          <xdr:row>111</xdr:row>
          <xdr:rowOff>0</xdr:rowOff>
        </xdr:to>
        <xdr:sp macro="" textlink="">
          <xdr:nvSpPr>
            <xdr:cNvPr id="1206" name="Option Button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Geen warmtepomp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0</xdr:rowOff>
        </xdr:from>
        <xdr:to>
          <xdr:col>2</xdr:col>
          <xdr:colOff>2695575</xdr:colOff>
          <xdr:row>122</xdr:row>
          <xdr:rowOff>66675</xdr:rowOff>
        </xdr:to>
        <xdr:sp macro="" textlink="">
          <xdr:nvSpPr>
            <xdr:cNvPr id="1216" name="Group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Soort warmtepomp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110</xdr:row>
          <xdr:rowOff>171450</xdr:rowOff>
        </xdr:from>
        <xdr:to>
          <xdr:col>2</xdr:col>
          <xdr:colOff>2371725</xdr:colOff>
          <xdr:row>112</xdr:row>
          <xdr:rowOff>0</xdr:rowOff>
        </xdr:to>
        <xdr:sp macro="" textlink="">
          <xdr:nvSpPr>
            <xdr:cNvPr id="1237" name="Option Button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Lucht-water &lt; 1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111</xdr:row>
          <xdr:rowOff>171450</xdr:rowOff>
        </xdr:from>
        <xdr:to>
          <xdr:col>2</xdr:col>
          <xdr:colOff>2457450</xdr:colOff>
          <xdr:row>113</xdr:row>
          <xdr:rowOff>0</xdr:rowOff>
        </xdr:to>
        <xdr:sp macro="" textlink="">
          <xdr:nvSpPr>
            <xdr:cNvPr id="1238" name="Option Button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Lucht-water ≥ 1 kW en ≤ 70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112</xdr:row>
          <xdr:rowOff>171450</xdr:rowOff>
        </xdr:from>
        <xdr:to>
          <xdr:col>2</xdr:col>
          <xdr:colOff>2466975</xdr:colOff>
          <xdr:row>114</xdr:row>
          <xdr:rowOff>0</xdr:rowOff>
        </xdr:to>
        <xdr:sp macro="" textlink="">
          <xdr:nvSpPr>
            <xdr:cNvPr id="1239" name="Option Button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Lucht-water ≥ 71 kW en ≤ 400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113</xdr:row>
          <xdr:rowOff>171450</xdr:rowOff>
        </xdr:from>
        <xdr:to>
          <xdr:col>2</xdr:col>
          <xdr:colOff>2390775</xdr:colOff>
          <xdr:row>115</xdr:row>
          <xdr:rowOff>0</xdr:rowOff>
        </xdr:to>
        <xdr:sp macro="" textlink="">
          <xdr:nvSpPr>
            <xdr:cNvPr id="1240" name="Option Button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Grond-water &lt; 1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114</xdr:row>
          <xdr:rowOff>171450</xdr:rowOff>
        </xdr:from>
        <xdr:to>
          <xdr:col>2</xdr:col>
          <xdr:colOff>2362200</xdr:colOff>
          <xdr:row>116</xdr:row>
          <xdr:rowOff>0</xdr:rowOff>
        </xdr:to>
        <xdr:sp macro="" textlink="">
          <xdr:nvSpPr>
            <xdr:cNvPr id="1241" name="Option Button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Grond-water ≥ 1 kW en &lt; 10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115</xdr:row>
          <xdr:rowOff>171450</xdr:rowOff>
        </xdr:from>
        <xdr:to>
          <xdr:col>2</xdr:col>
          <xdr:colOff>2438400</xdr:colOff>
          <xdr:row>117</xdr:row>
          <xdr:rowOff>0</xdr:rowOff>
        </xdr:to>
        <xdr:sp macro="" textlink="">
          <xdr:nvSpPr>
            <xdr:cNvPr id="1242" name="Option Button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Grond-water ≥ 10 kW en ≤ 70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116</xdr:row>
          <xdr:rowOff>171450</xdr:rowOff>
        </xdr:from>
        <xdr:to>
          <xdr:col>2</xdr:col>
          <xdr:colOff>2400300</xdr:colOff>
          <xdr:row>118</xdr:row>
          <xdr:rowOff>0</xdr:rowOff>
        </xdr:to>
        <xdr:sp macro="" textlink="">
          <xdr:nvSpPr>
            <xdr:cNvPr id="1243" name="Option Button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Grond-water ≥ 71 kW en ≤ 400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117</xdr:row>
          <xdr:rowOff>171450</xdr:rowOff>
        </xdr:from>
        <xdr:to>
          <xdr:col>2</xdr:col>
          <xdr:colOff>2409825</xdr:colOff>
          <xdr:row>119</xdr:row>
          <xdr:rowOff>0</xdr:rowOff>
        </xdr:to>
        <xdr:sp macro="" textlink="">
          <xdr:nvSpPr>
            <xdr:cNvPr id="1244" name="Option Button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Water-water &lt; 1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118</xdr:row>
          <xdr:rowOff>171450</xdr:rowOff>
        </xdr:from>
        <xdr:to>
          <xdr:col>2</xdr:col>
          <xdr:colOff>2362200</xdr:colOff>
          <xdr:row>120</xdr:row>
          <xdr:rowOff>0</xdr:rowOff>
        </xdr:to>
        <xdr:sp macro="" textlink="">
          <xdr:nvSpPr>
            <xdr:cNvPr id="1253" name="Option Button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Water-water ≥ 1 kW en &lt; 10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119</xdr:row>
          <xdr:rowOff>171450</xdr:rowOff>
        </xdr:from>
        <xdr:to>
          <xdr:col>2</xdr:col>
          <xdr:colOff>2419350</xdr:colOff>
          <xdr:row>121</xdr:row>
          <xdr:rowOff>0</xdr:rowOff>
        </xdr:to>
        <xdr:sp macro="" textlink="">
          <xdr:nvSpPr>
            <xdr:cNvPr id="1254" name="Option Button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Water-water ≥ 10 kW en ≤ 70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120</xdr:row>
          <xdr:rowOff>171450</xdr:rowOff>
        </xdr:from>
        <xdr:to>
          <xdr:col>2</xdr:col>
          <xdr:colOff>2466975</xdr:colOff>
          <xdr:row>122</xdr:row>
          <xdr:rowOff>0</xdr:rowOff>
        </xdr:to>
        <xdr:sp macro="" textlink="">
          <xdr:nvSpPr>
            <xdr:cNvPr id="1259" name="Option Button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Water-water ≥ 71 kW en ≤ 400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124</xdr:row>
          <xdr:rowOff>180975</xdr:rowOff>
        </xdr:from>
        <xdr:to>
          <xdr:col>2</xdr:col>
          <xdr:colOff>2486025</xdr:colOff>
          <xdr:row>126</xdr:row>
          <xdr:rowOff>9525</xdr:rowOff>
        </xdr:to>
        <xdr:sp macro="" textlink="">
          <xdr:nvSpPr>
            <xdr:cNvPr id="1263" name="Option Button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125</xdr:row>
          <xdr:rowOff>180975</xdr:rowOff>
        </xdr:from>
        <xdr:to>
          <xdr:col>2</xdr:col>
          <xdr:colOff>2457450</xdr:colOff>
          <xdr:row>127</xdr:row>
          <xdr:rowOff>9525</xdr:rowOff>
        </xdr:to>
        <xdr:sp macro="" textlink="">
          <xdr:nvSpPr>
            <xdr:cNvPr id="1273" name="Option Button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Energieklasse A+++ of hoger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126</xdr:row>
          <xdr:rowOff>180975</xdr:rowOff>
        </xdr:from>
        <xdr:to>
          <xdr:col>2</xdr:col>
          <xdr:colOff>2295525</xdr:colOff>
          <xdr:row>128</xdr:row>
          <xdr:rowOff>9525</xdr:rowOff>
        </xdr:to>
        <xdr:sp macro="" textlink="">
          <xdr:nvSpPr>
            <xdr:cNvPr id="1274" name="Option Button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Energieklasse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127</xdr:row>
          <xdr:rowOff>180975</xdr:rowOff>
        </xdr:from>
        <xdr:to>
          <xdr:col>2</xdr:col>
          <xdr:colOff>2390775</xdr:colOff>
          <xdr:row>129</xdr:row>
          <xdr:rowOff>9525</xdr:rowOff>
        </xdr:to>
        <xdr:sp macro="" textlink="">
          <xdr:nvSpPr>
            <xdr:cNvPr id="1275" name="Option Button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Energieklasse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128</xdr:row>
          <xdr:rowOff>180975</xdr:rowOff>
        </xdr:from>
        <xdr:to>
          <xdr:col>2</xdr:col>
          <xdr:colOff>2286000</xdr:colOff>
          <xdr:row>130</xdr:row>
          <xdr:rowOff>9525</xdr:rowOff>
        </xdr:to>
        <xdr:sp macro="" textlink="">
          <xdr:nvSpPr>
            <xdr:cNvPr id="1276" name="Option Button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Energieklasse A t/m 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124</xdr:row>
          <xdr:rowOff>57150</xdr:rowOff>
        </xdr:from>
        <xdr:to>
          <xdr:col>2</xdr:col>
          <xdr:colOff>2705100</xdr:colOff>
          <xdr:row>130</xdr:row>
          <xdr:rowOff>66675</xdr:rowOff>
        </xdr:to>
        <xdr:sp macro="" textlink="">
          <xdr:nvSpPr>
            <xdr:cNvPr id="1277" name="Group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Energie-efficiency klasse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9525</xdr:rowOff>
        </xdr:from>
        <xdr:to>
          <xdr:col>2</xdr:col>
          <xdr:colOff>2600325</xdr:colOff>
          <xdr:row>19</xdr:row>
          <xdr:rowOff>190500</xdr:rowOff>
        </xdr:to>
        <xdr:sp macro="" textlink="">
          <xdr:nvSpPr>
            <xdr:cNvPr id="1278" name="Option Button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CC9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 voor ISDE-maatregel(en) &gt; 24 maanden geleden uitgevoerd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9525</xdr:rowOff>
        </xdr:from>
        <xdr:to>
          <xdr:col>2</xdr:col>
          <xdr:colOff>2628900</xdr:colOff>
          <xdr:row>20</xdr:row>
          <xdr:rowOff>190500</xdr:rowOff>
        </xdr:to>
        <xdr:sp macro="" textlink="">
          <xdr:nvSpPr>
            <xdr:cNvPr id="1279" name="Option Button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CC9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 voor ISDE-maatregel(en) ≤ 24 maanden geleden uitgevoerd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29</xdr:row>
          <xdr:rowOff>0</xdr:rowOff>
        </xdr:from>
        <xdr:to>
          <xdr:col>2</xdr:col>
          <xdr:colOff>2362200</xdr:colOff>
          <xdr:row>29</xdr:row>
          <xdr:rowOff>180975</xdr:rowOff>
        </xdr:to>
        <xdr:sp macro="" textlink="">
          <xdr:nvSpPr>
            <xdr:cNvPr id="1280" name="Option Button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CC9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Dakisolatie, RD ≥ 3,5 m2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0</xdr:rowOff>
        </xdr:from>
        <xdr:to>
          <xdr:col>2</xdr:col>
          <xdr:colOff>2457450</xdr:colOff>
          <xdr:row>30</xdr:row>
          <xdr:rowOff>180975</xdr:rowOff>
        </xdr:to>
        <xdr:sp macro="" textlink="">
          <xdr:nvSpPr>
            <xdr:cNvPr id="1281" name="Option Button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CC9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Zolder-of vlieringisolatie, RD ≥ 3,5 m2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28</xdr:row>
          <xdr:rowOff>171450</xdr:rowOff>
        </xdr:from>
        <xdr:to>
          <xdr:col>4</xdr:col>
          <xdr:colOff>2476500</xdr:colOff>
          <xdr:row>30</xdr:row>
          <xdr:rowOff>0</xdr:rowOff>
        </xdr:to>
        <xdr:sp macro="" textlink="">
          <xdr:nvSpPr>
            <xdr:cNvPr id="1282" name="Option Button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Vóór 1 januari 2024 én ≤ 24 maanden geleden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29</xdr:row>
          <xdr:rowOff>171450</xdr:rowOff>
        </xdr:from>
        <xdr:to>
          <xdr:col>4</xdr:col>
          <xdr:colOff>2371725</xdr:colOff>
          <xdr:row>31</xdr:row>
          <xdr:rowOff>0</xdr:rowOff>
        </xdr:to>
        <xdr:sp macro="" textlink="">
          <xdr:nvSpPr>
            <xdr:cNvPr id="1283" name="Option Button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Op of ná 1 januari 2024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35</xdr:row>
          <xdr:rowOff>9525</xdr:rowOff>
        </xdr:from>
        <xdr:to>
          <xdr:col>2</xdr:col>
          <xdr:colOff>2552700</xdr:colOff>
          <xdr:row>36</xdr:row>
          <xdr:rowOff>0</xdr:rowOff>
        </xdr:to>
        <xdr:sp macro="" textlink="">
          <xdr:nvSpPr>
            <xdr:cNvPr id="1287" name="Option Button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Binnen-of buitengevelisolatie, Rd ≥ 3,5m2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171450</xdr:rowOff>
        </xdr:from>
        <xdr:to>
          <xdr:col>4</xdr:col>
          <xdr:colOff>2533650</xdr:colOff>
          <xdr:row>36</xdr:row>
          <xdr:rowOff>9525</xdr:rowOff>
        </xdr:to>
        <xdr:sp macro="" textlink="">
          <xdr:nvSpPr>
            <xdr:cNvPr id="1288" name="Option Button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Vóór 1 janauri 2024 én ≤ 24 maanden geleden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xdr:row>
          <xdr:rowOff>171450</xdr:rowOff>
        </xdr:from>
        <xdr:to>
          <xdr:col>4</xdr:col>
          <xdr:colOff>2571750</xdr:colOff>
          <xdr:row>37</xdr:row>
          <xdr:rowOff>9525</xdr:rowOff>
        </xdr:to>
        <xdr:sp macro="" textlink="">
          <xdr:nvSpPr>
            <xdr:cNvPr id="1289" name="Option Button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Op of ná 1 januari 2024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40</xdr:row>
          <xdr:rowOff>180975</xdr:rowOff>
        </xdr:from>
        <xdr:to>
          <xdr:col>2</xdr:col>
          <xdr:colOff>2486025</xdr:colOff>
          <xdr:row>42</xdr:row>
          <xdr:rowOff>19050</xdr:rowOff>
        </xdr:to>
        <xdr:sp macro="" textlink="">
          <xdr:nvSpPr>
            <xdr:cNvPr id="1292" name="Option Button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Spouwmuurisolatie, Rd ≥ 1,1 m2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40</xdr:row>
          <xdr:rowOff>180975</xdr:rowOff>
        </xdr:from>
        <xdr:to>
          <xdr:col>4</xdr:col>
          <xdr:colOff>2600325</xdr:colOff>
          <xdr:row>42</xdr:row>
          <xdr:rowOff>9525</xdr:rowOff>
        </xdr:to>
        <xdr:sp macro="" textlink="">
          <xdr:nvSpPr>
            <xdr:cNvPr id="1293" name="Option Button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Vóór 1 januari 2024 én ≤ 24 maanden geleden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41</xdr:row>
          <xdr:rowOff>180975</xdr:rowOff>
        </xdr:from>
        <xdr:to>
          <xdr:col>4</xdr:col>
          <xdr:colOff>2638425</xdr:colOff>
          <xdr:row>43</xdr:row>
          <xdr:rowOff>9525</xdr:rowOff>
        </xdr:to>
        <xdr:sp macro="" textlink="">
          <xdr:nvSpPr>
            <xdr:cNvPr id="1294" name="Option Button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Op of ná 1 januari 2024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46</xdr:row>
          <xdr:rowOff>180975</xdr:rowOff>
        </xdr:from>
        <xdr:to>
          <xdr:col>2</xdr:col>
          <xdr:colOff>2162175</xdr:colOff>
          <xdr:row>48</xdr:row>
          <xdr:rowOff>9525</xdr:rowOff>
        </xdr:to>
        <xdr:sp macro="" textlink="">
          <xdr:nvSpPr>
            <xdr:cNvPr id="1300" name="Option Button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Vloerisolatie, Rd ≥ 3,5m2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47</xdr:row>
          <xdr:rowOff>180975</xdr:rowOff>
        </xdr:from>
        <xdr:to>
          <xdr:col>2</xdr:col>
          <xdr:colOff>2228850</xdr:colOff>
          <xdr:row>49</xdr:row>
          <xdr:rowOff>9525</xdr:rowOff>
        </xdr:to>
        <xdr:sp macro="" textlink="">
          <xdr:nvSpPr>
            <xdr:cNvPr id="1301" name="Option Button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Bodemisolatie, Rd ≥ 3,5m2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46</xdr:row>
          <xdr:rowOff>171450</xdr:rowOff>
        </xdr:from>
        <xdr:to>
          <xdr:col>4</xdr:col>
          <xdr:colOff>2581275</xdr:colOff>
          <xdr:row>48</xdr:row>
          <xdr:rowOff>9525</xdr:rowOff>
        </xdr:to>
        <xdr:sp macro="" textlink="">
          <xdr:nvSpPr>
            <xdr:cNvPr id="1302" name="Option Button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Vóór 1 januari 2024 én ≤ 24 maanden geleden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47</xdr:row>
          <xdr:rowOff>171450</xdr:rowOff>
        </xdr:from>
        <xdr:to>
          <xdr:col>4</xdr:col>
          <xdr:colOff>2524125</xdr:colOff>
          <xdr:row>49</xdr:row>
          <xdr:rowOff>9525</xdr:rowOff>
        </xdr:to>
        <xdr:sp macro="" textlink="">
          <xdr:nvSpPr>
            <xdr:cNvPr id="1303" name="Option Button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Op of ná 1 januari 2024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171450</xdr:rowOff>
        </xdr:from>
        <xdr:to>
          <xdr:col>2</xdr:col>
          <xdr:colOff>1962150</xdr:colOff>
          <xdr:row>56</xdr:row>
          <xdr:rowOff>28575</xdr:rowOff>
        </xdr:to>
        <xdr:sp macro="" textlink="">
          <xdr:nvSpPr>
            <xdr:cNvPr id="1312" name="Check Box 288" descr="Biobased" hidden="1">
              <a:extLst>
                <a:ext uri="{63B3BB69-23CF-44E3-9099-C40C66FF867C}">
                  <a14:compatExt spid="_x0000_s1312"/>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Gevelisolatie is biobased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171450</xdr:rowOff>
        </xdr:from>
        <xdr:to>
          <xdr:col>2</xdr:col>
          <xdr:colOff>1962150</xdr:colOff>
          <xdr:row>58</xdr:row>
          <xdr:rowOff>28575</xdr:rowOff>
        </xdr:to>
        <xdr:sp macro="" textlink="">
          <xdr:nvSpPr>
            <xdr:cNvPr id="1314" name="Check Box 290" descr="Biobased"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Spouwmuurisolatie is biobased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58</xdr:row>
          <xdr:rowOff>171450</xdr:rowOff>
        </xdr:from>
        <xdr:to>
          <xdr:col>2</xdr:col>
          <xdr:colOff>1962150</xdr:colOff>
          <xdr:row>60</xdr:row>
          <xdr:rowOff>28575</xdr:rowOff>
        </xdr:to>
        <xdr:sp macro="" textlink="">
          <xdr:nvSpPr>
            <xdr:cNvPr id="1316" name="Check Box 292" descr="Biobased"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Vloerisolatie/bodemisolatie is biobased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109</xdr:row>
          <xdr:rowOff>180975</xdr:rowOff>
        </xdr:from>
        <xdr:to>
          <xdr:col>4</xdr:col>
          <xdr:colOff>2552700</xdr:colOff>
          <xdr:row>111</xdr:row>
          <xdr:rowOff>19050</xdr:rowOff>
        </xdr:to>
        <xdr:sp macro="" textlink="">
          <xdr:nvSpPr>
            <xdr:cNvPr id="1317" name="Option Button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110</xdr:row>
          <xdr:rowOff>180975</xdr:rowOff>
        </xdr:from>
        <xdr:to>
          <xdr:col>4</xdr:col>
          <xdr:colOff>2524125</xdr:colOff>
          <xdr:row>112</xdr:row>
          <xdr:rowOff>19050</xdr:rowOff>
        </xdr:to>
        <xdr:sp macro="" textlink="">
          <xdr:nvSpPr>
            <xdr:cNvPr id="1318" name="Option Button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Vóór 1 januari 2024 én ≤ 24 maanden geleden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0</xdr:rowOff>
        </xdr:from>
        <xdr:to>
          <xdr:col>4</xdr:col>
          <xdr:colOff>2695575</xdr:colOff>
          <xdr:row>113</xdr:row>
          <xdr:rowOff>95250</xdr:rowOff>
        </xdr:to>
        <xdr:sp macro="" textlink="">
          <xdr:nvSpPr>
            <xdr:cNvPr id="1319" name="Group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Datum installatie warmtepomp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111</xdr:row>
          <xdr:rowOff>180975</xdr:rowOff>
        </xdr:from>
        <xdr:to>
          <xdr:col>4</xdr:col>
          <xdr:colOff>2552700</xdr:colOff>
          <xdr:row>113</xdr:row>
          <xdr:rowOff>19050</xdr:rowOff>
        </xdr:to>
        <xdr:sp macro="" textlink="">
          <xdr:nvSpPr>
            <xdr:cNvPr id="1320" name="Option Button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Op of ná 1 januari 2024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136</xdr:row>
          <xdr:rowOff>180975</xdr:rowOff>
        </xdr:from>
        <xdr:to>
          <xdr:col>2</xdr:col>
          <xdr:colOff>2228850</xdr:colOff>
          <xdr:row>138</xdr:row>
          <xdr:rowOff>9525</xdr:rowOff>
        </xdr:to>
        <xdr:sp macro="" textlink="">
          <xdr:nvSpPr>
            <xdr:cNvPr id="1321" name="Option Button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Geen zonneboiler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137</xdr:row>
          <xdr:rowOff>180975</xdr:rowOff>
        </xdr:from>
        <xdr:to>
          <xdr:col>2</xdr:col>
          <xdr:colOff>2314575</xdr:colOff>
          <xdr:row>139</xdr:row>
          <xdr:rowOff>9525</xdr:rowOff>
        </xdr:to>
        <xdr:sp macro="" textlink="">
          <xdr:nvSpPr>
            <xdr:cNvPr id="1322" name="Option Button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Zonneboiler ≤ 5 m2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138</xdr:row>
          <xdr:rowOff>180975</xdr:rowOff>
        </xdr:from>
        <xdr:to>
          <xdr:col>2</xdr:col>
          <xdr:colOff>2181225</xdr:colOff>
          <xdr:row>140</xdr:row>
          <xdr:rowOff>9525</xdr:rowOff>
        </xdr:to>
        <xdr:sp macro="" textlink="">
          <xdr:nvSpPr>
            <xdr:cNvPr id="1323" name="Option Button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Zonneboiler &gt; 5 en ≤ 10 m2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139</xdr:row>
          <xdr:rowOff>180975</xdr:rowOff>
        </xdr:from>
        <xdr:to>
          <xdr:col>2</xdr:col>
          <xdr:colOff>2324100</xdr:colOff>
          <xdr:row>141</xdr:row>
          <xdr:rowOff>9525</xdr:rowOff>
        </xdr:to>
        <xdr:sp macro="" textlink="">
          <xdr:nvSpPr>
            <xdr:cNvPr id="1324" name="Option Button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Zonneboilercombi ≤ 5 m2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140</xdr:row>
          <xdr:rowOff>180975</xdr:rowOff>
        </xdr:from>
        <xdr:to>
          <xdr:col>2</xdr:col>
          <xdr:colOff>2333625</xdr:colOff>
          <xdr:row>142</xdr:row>
          <xdr:rowOff>9525</xdr:rowOff>
        </xdr:to>
        <xdr:sp macro="" textlink="">
          <xdr:nvSpPr>
            <xdr:cNvPr id="1325" name="Option Button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Zonneboilercombi &gt; 5 en ≤ 10 m2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136</xdr:row>
          <xdr:rowOff>0</xdr:rowOff>
        </xdr:from>
        <xdr:to>
          <xdr:col>2</xdr:col>
          <xdr:colOff>2705100</xdr:colOff>
          <xdr:row>142</xdr:row>
          <xdr:rowOff>76200</xdr:rowOff>
        </xdr:to>
        <xdr:sp macro="" textlink="">
          <xdr:nvSpPr>
            <xdr:cNvPr id="1327" name="Group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Soort zonneboiler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148</xdr:row>
          <xdr:rowOff>180975</xdr:rowOff>
        </xdr:from>
        <xdr:to>
          <xdr:col>2</xdr:col>
          <xdr:colOff>2409825</xdr:colOff>
          <xdr:row>150</xdr:row>
          <xdr:rowOff>9525</xdr:rowOff>
        </xdr:to>
        <xdr:sp macro="" textlink="">
          <xdr:nvSpPr>
            <xdr:cNvPr id="1328" name="Option Button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Geen aansluiting op een warmtenet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149</xdr:row>
          <xdr:rowOff>180975</xdr:rowOff>
        </xdr:from>
        <xdr:to>
          <xdr:col>2</xdr:col>
          <xdr:colOff>2333625</xdr:colOff>
          <xdr:row>151</xdr:row>
          <xdr:rowOff>9525</xdr:rowOff>
        </xdr:to>
        <xdr:sp macro="" textlink="">
          <xdr:nvSpPr>
            <xdr:cNvPr id="1329" name="Option Button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Aansluiting op een warmtenet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148</xdr:row>
          <xdr:rowOff>9525</xdr:rowOff>
        </xdr:from>
        <xdr:to>
          <xdr:col>2</xdr:col>
          <xdr:colOff>2705100</xdr:colOff>
          <xdr:row>151</xdr:row>
          <xdr:rowOff>76200</xdr:rowOff>
        </xdr:to>
        <xdr:sp macro="" textlink="">
          <xdr:nvSpPr>
            <xdr:cNvPr id="1330" name="Group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Aansluiting warmtenet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148</xdr:row>
          <xdr:rowOff>180975</xdr:rowOff>
        </xdr:from>
        <xdr:to>
          <xdr:col>4</xdr:col>
          <xdr:colOff>2476500</xdr:colOff>
          <xdr:row>150</xdr:row>
          <xdr:rowOff>9525</xdr:rowOff>
        </xdr:to>
        <xdr:sp macro="" textlink="">
          <xdr:nvSpPr>
            <xdr:cNvPr id="1331" name="Option Button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149</xdr:row>
          <xdr:rowOff>180975</xdr:rowOff>
        </xdr:from>
        <xdr:to>
          <xdr:col>4</xdr:col>
          <xdr:colOff>2514600</xdr:colOff>
          <xdr:row>151</xdr:row>
          <xdr:rowOff>38100</xdr:rowOff>
        </xdr:to>
        <xdr:sp macro="" textlink="">
          <xdr:nvSpPr>
            <xdr:cNvPr id="1332" name="Option Button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Vóór 1 januari 2024 én ≤ 24 maanden geleden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150</xdr:row>
          <xdr:rowOff>180975</xdr:rowOff>
        </xdr:from>
        <xdr:to>
          <xdr:col>4</xdr:col>
          <xdr:colOff>2495550</xdr:colOff>
          <xdr:row>152</xdr:row>
          <xdr:rowOff>9525</xdr:rowOff>
        </xdr:to>
        <xdr:sp macro="" textlink="">
          <xdr:nvSpPr>
            <xdr:cNvPr id="1333" name="Option Button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Op of ná 1 januari 2024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148</xdr:row>
          <xdr:rowOff>0</xdr:rowOff>
        </xdr:from>
        <xdr:to>
          <xdr:col>4</xdr:col>
          <xdr:colOff>2695575</xdr:colOff>
          <xdr:row>152</xdr:row>
          <xdr:rowOff>85725</xdr:rowOff>
        </xdr:to>
        <xdr:sp macro="" textlink="">
          <xdr:nvSpPr>
            <xdr:cNvPr id="1334" name="Group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Datum aansluiting warmtenet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137</xdr:row>
          <xdr:rowOff>0</xdr:rowOff>
        </xdr:from>
        <xdr:to>
          <xdr:col>4</xdr:col>
          <xdr:colOff>2524125</xdr:colOff>
          <xdr:row>138</xdr:row>
          <xdr:rowOff>19050</xdr:rowOff>
        </xdr:to>
        <xdr:sp macro="" textlink="">
          <xdr:nvSpPr>
            <xdr:cNvPr id="1335" name="Option Button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138</xdr:row>
          <xdr:rowOff>0</xdr:rowOff>
        </xdr:from>
        <xdr:to>
          <xdr:col>4</xdr:col>
          <xdr:colOff>2600325</xdr:colOff>
          <xdr:row>139</xdr:row>
          <xdr:rowOff>19050</xdr:rowOff>
        </xdr:to>
        <xdr:sp macro="" textlink="">
          <xdr:nvSpPr>
            <xdr:cNvPr id="1336" name="Option Button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Vóór 1 januari 2024 én ≤ 24 maanden geleden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139</xdr:row>
          <xdr:rowOff>0</xdr:rowOff>
        </xdr:from>
        <xdr:to>
          <xdr:col>4</xdr:col>
          <xdr:colOff>2562225</xdr:colOff>
          <xdr:row>140</xdr:row>
          <xdr:rowOff>19050</xdr:rowOff>
        </xdr:to>
        <xdr:sp macro="" textlink="">
          <xdr:nvSpPr>
            <xdr:cNvPr id="1337" name="Option Button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Op of ná 1 januari 2024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136</xdr:row>
          <xdr:rowOff>0</xdr:rowOff>
        </xdr:from>
        <xdr:to>
          <xdr:col>4</xdr:col>
          <xdr:colOff>2695575</xdr:colOff>
          <xdr:row>140</xdr:row>
          <xdr:rowOff>104775</xdr:rowOff>
        </xdr:to>
        <xdr:sp macro="" textlink="">
          <xdr:nvSpPr>
            <xdr:cNvPr id="1339" name="Group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Datum installatie zonneboiler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155</xdr:row>
          <xdr:rowOff>142875</xdr:rowOff>
        </xdr:from>
        <xdr:to>
          <xdr:col>2</xdr:col>
          <xdr:colOff>2219325</xdr:colOff>
          <xdr:row>155</xdr:row>
          <xdr:rowOff>390525</xdr:rowOff>
        </xdr:to>
        <xdr:sp macro="" textlink="">
          <xdr:nvSpPr>
            <xdr:cNvPr id="1340" name="Option Button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155</xdr:row>
          <xdr:rowOff>352425</xdr:rowOff>
        </xdr:from>
        <xdr:to>
          <xdr:col>2</xdr:col>
          <xdr:colOff>2124075</xdr:colOff>
          <xdr:row>155</xdr:row>
          <xdr:rowOff>571500</xdr:rowOff>
        </xdr:to>
        <xdr:sp macro="" textlink="">
          <xdr:nvSpPr>
            <xdr:cNvPr id="1342" name="Option Button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155</xdr:row>
          <xdr:rowOff>9525</xdr:rowOff>
        </xdr:from>
        <xdr:to>
          <xdr:col>2</xdr:col>
          <xdr:colOff>2705100</xdr:colOff>
          <xdr:row>155</xdr:row>
          <xdr:rowOff>647700</xdr:rowOff>
        </xdr:to>
        <xdr:sp macro="" textlink="">
          <xdr:nvSpPr>
            <xdr:cNvPr id="1343" name="Group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Aanschaf elektrische kookvoorziening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157</xdr:row>
          <xdr:rowOff>180975</xdr:rowOff>
        </xdr:from>
        <xdr:to>
          <xdr:col>2</xdr:col>
          <xdr:colOff>2038350</xdr:colOff>
          <xdr:row>158</xdr:row>
          <xdr:rowOff>9525</xdr:rowOff>
        </xdr:to>
        <xdr:sp macro="" textlink="">
          <xdr:nvSpPr>
            <xdr:cNvPr id="1344" name="Option Button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158</xdr:row>
          <xdr:rowOff>0</xdr:rowOff>
        </xdr:from>
        <xdr:to>
          <xdr:col>2</xdr:col>
          <xdr:colOff>2171700</xdr:colOff>
          <xdr:row>159</xdr:row>
          <xdr:rowOff>19050</xdr:rowOff>
        </xdr:to>
        <xdr:sp macro="" textlink="">
          <xdr:nvSpPr>
            <xdr:cNvPr id="1345" name="Option Button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157</xdr:row>
          <xdr:rowOff>0</xdr:rowOff>
        </xdr:from>
        <xdr:to>
          <xdr:col>2</xdr:col>
          <xdr:colOff>2705100</xdr:colOff>
          <xdr:row>159</xdr:row>
          <xdr:rowOff>85725</xdr:rowOff>
        </xdr:to>
        <xdr:sp macro="" textlink="">
          <xdr:nvSpPr>
            <xdr:cNvPr id="1346" name="Group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Woning aangesloten op warmtenet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161</xdr:row>
          <xdr:rowOff>171450</xdr:rowOff>
        </xdr:from>
        <xdr:to>
          <xdr:col>2</xdr:col>
          <xdr:colOff>2133600</xdr:colOff>
          <xdr:row>162</xdr:row>
          <xdr:rowOff>9525</xdr:rowOff>
        </xdr:to>
        <xdr:sp macro="" textlink="">
          <xdr:nvSpPr>
            <xdr:cNvPr id="1347" name="Option Button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162</xdr:row>
          <xdr:rowOff>0</xdr:rowOff>
        </xdr:from>
        <xdr:to>
          <xdr:col>2</xdr:col>
          <xdr:colOff>2171700</xdr:colOff>
          <xdr:row>163</xdr:row>
          <xdr:rowOff>47625</xdr:rowOff>
        </xdr:to>
        <xdr:sp macro="" textlink="">
          <xdr:nvSpPr>
            <xdr:cNvPr id="1348" name="Option Button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161</xdr:row>
          <xdr:rowOff>9525</xdr:rowOff>
        </xdr:from>
        <xdr:to>
          <xdr:col>2</xdr:col>
          <xdr:colOff>2705100</xdr:colOff>
          <xdr:row>163</xdr:row>
          <xdr:rowOff>85725</xdr:rowOff>
        </xdr:to>
        <xdr:sp macro="" textlink="">
          <xdr:nvSpPr>
            <xdr:cNvPr id="1349" name="Group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Eerdere subsidie aansluiting warmtenet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165</xdr:row>
          <xdr:rowOff>180975</xdr:rowOff>
        </xdr:from>
        <xdr:to>
          <xdr:col>2</xdr:col>
          <xdr:colOff>1943100</xdr:colOff>
          <xdr:row>166</xdr:row>
          <xdr:rowOff>9525</xdr:rowOff>
        </xdr:to>
        <xdr:sp macro="" textlink="">
          <xdr:nvSpPr>
            <xdr:cNvPr id="1350" name="Option Button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166</xdr:row>
          <xdr:rowOff>0</xdr:rowOff>
        </xdr:from>
        <xdr:to>
          <xdr:col>2</xdr:col>
          <xdr:colOff>2143125</xdr:colOff>
          <xdr:row>167</xdr:row>
          <xdr:rowOff>19050</xdr:rowOff>
        </xdr:to>
        <xdr:sp macro="" textlink="">
          <xdr:nvSpPr>
            <xdr:cNvPr id="1351" name="Option Button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165</xdr:row>
          <xdr:rowOff>0</xdr:rowOff>
        </xdr:from>
        <xdr:to>
          <xdr:col>2</xdr:col>
          <xdr:colOff>2695575</xdr:colOff>
          <xdr:row>167</xdr:row>
          <xdr:rowOff>57150</xdr:rowOff>
        </xdr:to>
        <xdr:sp macro="" textlink="">
          <xdr:nvSpPr>
            <xdr:cNvPr id="1353" name="Group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Afgesloten van het aardgasnet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64</xdr:row>
          <xdr:rowOff>390525</xdr:rowOff>
        </xdr:from>
        <xdr:to>
          <xdr:col>2</xdr:col>
          <xdr:colOff>2457450</xdr:colOff>
          <xdr:row>64</xdr:row>
          <xdr:rowOff>609600</xdr:rowOff>
        </xdr:to>
        <xdr:sp macro="" textlink="">
          <xdr:nvSpPr>
            <xdr:cNvPr id="1356" name="Option Button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Geen glasisolatie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64</xdr:row>
          <xdr:rowOff>590550</xdr:rowOff>
        </xdr:from>
        <xdr:to>
          <xdr:col>2</xdr:col>
          <xdr:colOff>2162175</xdr:colOff>
          <xdr:row>64</xdr:row>
          <xdr:rowOff>809625</xdr:rowOff>
        </xdr:to>
        <xdr:sp macro="" textlink="">
          <xdr:nvSpPr>
            <xdr:cNvPr id="1357" name="Option Button 333"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HR++ glas en/of Triple glas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64</xdr:row>
          <xdr:rowOff>228600</xdr:rowOff>
        </xdr:from>
        <xdr:to>
          <xdr:col>2</xdr:col>
          <xdr:colOff>2695575</xdr:colOff>
          <xdr:row>65</xdr:row>
          <xdr:rowOff>9525</xdr:rowOff>
        </xdr:to>
        <xdr:sp macro="" textlink="">
          <xdr:nvSpPr>
            <xdr:cNvPr id="1359" name="Group Box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Glasisolatie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67</xdr:row>
          <xdr:rowOff>180975</xdr:rowOff>
        </xdr:from>
        <xdr:to>
          <xdr:col>2</xdr:col>
          <xdr:colOff>2171700</xdr:colOff>
          <xdr:row>69</xdr:row>
          <xdr:rowOff>19050</xdr:rowOff>
        </xdr:to>
        <xdr:sp macro="" textlink="">
          <xdr:nvSpPr>
            <xdr:cNvPr id="1360" name="Option Button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68</xdr:row>
          <xdr:rowOff>180975</xdr:rowOff>
        </xdr:from>
        <xdr:to>
          <xdr:col>2</xdr:col>
          <xdr:colOff>2247900</xdr:colOff>
          <xdr:row>70</xdr:row>
          <xdr:rowOff>19050</xdr:rowOff>
        </xdr:to>
        <xdr:sp macro="" textlink="">
          <xdr:nvSpPr>
            <xdr:cNvPr id="1361" name="Option Button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67</xdr:row>
          <xdr:rowOff>0</xdr:rowOff>
        </xdr:from>
        <xdr:to>
          <xdr:col>2</xdr:col>
          <xdr:colOff>2695575</xdr:colOff>
          <xdr:row>70</xdr:row>
          <xdr:rowOff>57150</xdr:rowOff>
        </xdr:to>
        <xdr:sp macro="" textlink="">
          <xdr:nvSpPr>
            <xdr:cNvPr id="1363" name="Group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HR++ glas, U ≤ 1,2 W/m2K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73</xdr:row>
          <xdr:rowOff>180975</xdr:rowOff>
        </xdr:from>
        <xdr:to>
          <xdr:col>2</xdr:col>
          <xdr:colOff>2286000</xdr:colOff>
          <xdr:row>75</xdr:row>
          <xdr:rowOff>19050</xdr:rowOff>
        </xdr:to>
        <xdr:sp macro="" textlink="">
          <xdr:nvSpPr>
            <xdr:cNvPr id="1364" name="Option Button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74</xdr:row>
          <xdr:rowOff>180975</xdr:rowOff>
        </xdr:from>
        <xdr:to>
          <xdr:col>2</xdr:col>
          <xdr:colOff>2266950</xdr:colOff>
          <xdr:row>76</xdr:row>
          <xdr:rowOff>19050</xdr:rowOff>
        </xdr:to>
        <xdr:sp macro="" textlink="">
          <xdr:nvSpPr>
            <xdr:cNvPr id="1365" name="Option Button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0</xdr:rowOff>
        </xdr:from>
        <xdr:to>
          <xdr:col>2</xdr:col>
          <xdr:colOff>2695575</xdr:colOff>
          <xdr:row>76</xdr:row>
          <xdr:rowOff>66675</xdr:rowOff>
        </xdr:to>
        <xdr:sp macro="" textlink="">
          <xdr:nvSpPr>
            <xdr:cNvPr id="1366" name="Group Box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Triple glas, U ≤ 0,7 W/m2K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79</xdr:row>
          <xdr:rowOff>180975</xdr:rowOff>
        </xdr:from>
        <xdr:to>
          <xdr:col>2</xdr:col>
          <xdr:colOff>2228850</xdr:colOff>
          <xdr:row>81</xdr:row>
          <xdr:rowOff>19050</xdr:rowOff>
        </xdr:to>
        <xdr:sp macro="" textlink="">
          <xdr:nvSpPr>
            <xdr:cNvPr id="1367" name="Option Button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80</xdr:row>
          <xdr:rowOff>180975</xdr:rowOff>
        </xdr:from>
        <xdr:to>
          <xdr:col>2</xdr:col>
          <xdr:colOff>2124075</xdr:colOff>
          <xdr:row>82</xdr:row>
          <xdr:rowOff>19050</xdr:rowOff>
        </xdr:to>
        <xdr:sp macro="" textlink="">
          <xdr:nvSpPr>
            <xdr:cNvPr id="1368" name="Option Button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79</xdr:row>
          <xdr:rowOff>0</xdr:rowOff>
        </xdr:from>
        <xdr:to>
          <xdr:col>2</xdr:col>
          <xdr:colOff>2695575</xdr:colOff>
          <xdr:row>82</xdr:row>
          <xdr:rowOff>85725</xdr:rowOff>
        </xdr:to>
        <xdr:sp macro="" textlink="">
          <xdr:nvSpPr>
            <xdr:cNvPr id="1369" name="Group Box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Isolerende panelen, U ≤ 1,2 W/m2K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85</xdr:row>
          <xdr:rowOff>171450</xdr:rowOff>
        </xdr:from>
        <xdr:to>
          <xdr:col>2</xdr:col>
          <xdr:colOff>2305050</xdr:colOff>
          <xdr:row>87</xdr:row>
          <xdr:rowOff>9525</xdr:rowOff>
        </xdr:to>
        <xdr:sp macro="" textlink="">
          <xdr:nvSpPr>
            <xdr:cNvPr id="1370" name="Option Button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86</xdr:row>
          <xdr:rowOff>171450</xdr:rowOff>
        </xdr:from>
        <xdr:to>
          <xdr:col>2</xdr:col>
          <xdr:colOff>2238375</xdr:colOff>
          <xdr:row>88</xdr:row>
          <xdr:rowOff>9525</xdr:rowOff>
        </xdr:to>
        <xdr:sp macro="" textlink="">
          <xdr:nvSpPr>
            <xdr:cNvPr id="1371" name="Option Button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85</xdr:row>
          <xdr:rowOff>0</xdr:rowOff>
        </xdr:from>
        <xdr:to>
          <xdr:col>2</xdr:col>
          <xdr:colOff>2695575</xdr:colOff>
          <xdr:row>88</xdr:row>
          <xdr:rowOff>76200</xdr:rowOff>
        </xdr:to>
        <xdr:sp macro="" textlink="">
          <xdr:nvSpPr>
            <xdr:cNvPr id="1372" name="Group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Isolerende panelen, U ≤ 0,7 W/m2K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91</xdr:row>
          <xdr:rowOff>180975</xdr:rowOff>
        </xdr:from>
        <xdr:to>
          <xdr:col>2</xdr:col>
          <xdr:colOff>2200275</xdr:colOff>
          <xdr:row>93</xdr:row>
          <xdr:rowOff>19050</xdr:rowOff>
        </xdr:to>
        <xdr:sp macro="" textlink="">
          <xdr:nvSpPr>
            <xdr:cNvPr id="1373" name="Option Button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92</xdr:row>
          <xdr:rowOff>180975</xdr:rowOff>
        </xdr:from>
        <xdr:to>
          <xdr:col>2</xdr:col>
          <xdr:colOff>2352675</xdr:colOff>
          <xdr:row>94</xdr:row>
          <xdr:rowOff>19050</xdr:rowOff>
        </xdr:to>
        <xdr:sp macro="" textlink="">
          <xdr:nvSpPr>
            <xdr:cNvPr id="1374" name="Option Button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91</xdr:row>
          <xdr:rowOff>0</xdr:rowOff>
        </xdr:from>
        <xdr:to>
          <xdr:col>2</xdr:col>
          <xdr:colOff>2695575</xdr:colOff>
          <xdr:row>94</xdr:row>
          <xdr:rowOff>95250</xdr:rowOff>
        </xdr:to>
        <xdr:sp macro="" textlink="">
          <xdr:nvSpPr>
            <xdr:cNvPr id="1375" name="Group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Isolerende deuren, Ud ≤ 1,5 W/m2K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97</xdr:row>
          <xdr:rowOff>171450</xdr:rowOff>
        </xdr:from>
        <xdr:to>
          <xdr:col>2</xdr:col>
          <xdr:colOff>2047875</xdr:colOff>
          <xdr:row>99</xdr:row>
          <xdr:rowOff>9525</xdr:rowOff>
        </xdr:to>
        <xdr:sp macro="" textlink="">
          <xdr:nvSpPr>
            <xdr:cNvPr id="1376" name="Option Button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98</xdr:row>
          <xdr:rowOff>171450</xdr:rowOff>
        </xdr:from>
        <xdr:to>
          <xdr:col>2</xdr:col>
          <xdr:colOff>2038350</xdr:colOff>
          <xdr:row>100</xdr:row>
          <xdr:rowOff>9525</xdr:rowOff>
        </xdr:to>
        <xdr:sp macro="" textlink="">
          <xdr:nvSpPr>
            <xdr:cNvPr id="1377" name="Option Button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97</xdr:row>
          <xdr:rowOff>0</xdr:rowOff>
        </xdr:from>
        <xdr:to>
          <xdr:col>2</xdr:col>
          <xdr:colOff>2695575</xdr:colOff>
          <xdr:row>100</xdr:row>
          <xdr:rowOff>66675</xdr:rowOff>
        </xdr:to>
        <xdr:sp macro="" textlink="">
          <xdr:nvSpPr>
            <xdr:cNvPr id="1378" name="Group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Isolerende deuren, Ud ≤ 1,0 W/m2K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67</xdr:row>
          <xdr:rowOff>180975</xdr:rowOff>
        </xdr:from>
        <xdr:to>
          <xdr:col>4</xdr:col>
          <xdr:colOff>2428875</xdr:colOff>
          <xdr:row>69</xdr:row>
          <xdr:rowOff>19050</xdr:rowOff>
        </xdr:to>
        <xdr:sp macro="" textlink="">
          <xdr:nvSpPr>
            <xdr:cNvPr id="1379" name="Option Button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68</xdr:row>
          <xdr:rowOff>180975</xdr:rowOff>
        </xdr:from>
        <xdr:to>
          <xdr:col>4</xdr:col>
          <xdr:colOff>2686050</xdr:colOff>
          <xdr:row>70</xdr:row>
          <xdr:rowOff>19050</xdr:rowOff>
        </xdr:to>
        <xdr:sp macro="" textlink="">
          <xdr:nvSpPr>
            <xdr:cNvPr id="1380" name="Option Button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Vóór 1 januari 2023 én ≤ 24 maanden geleden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69</xdr:row>
          <xdr:rowOff>180975</xdr:rowOff>
        </xdr:from>
        <xdr:to>
          <xdr:col>4</xdr:col>
          <xdr:colOff>2514600</xdr:colOff>
          <xdr:row>71</xdr:row>
          <xdr:rowOff>19050</xdr:rowOff>
        </xdr:to>
        <xdr:sp macro="" textlink="">
          <xdr:nvSpPr>
            <xdr:cNvPr id="1381" name="Option Button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Op of ná 1 januari 2023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67</xdr:row>
          <xdr:rowOff>0</xdr:rowOff>
        </xdr:from>
        <xdr:to>
          <xdr:col>4</xdr:col>
          <xdr:colOff>2705100</xdr:colOff>
          <xdr:row>71</xdr:row>
          <xdr:rowOff>57150</xdr:rowOff>
        </xdr:to>
        <xdr:sp macro="" textlink="">
          <xdr:nvSpPr>
            <xdr:cNvPr id="1385" name="Group Box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HR++ glas, U ≤ 1,2 W/m2K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73</xdr:row>
          <xdr:rowOff>180975</xdr:rowOff>
        </xdr:from>
        <xdr:to>
          <xdr:col>4</xdr:col>
          <xdr:colOff>2552700</xdr:colOff>
          <xdr:row>75</xdr:row>
          <xdr:rowOff>9525</xdr:rowOff>
        </xdr:to>
        <xdr:sp macro="" textlink="">
          <xdr:nvSpPr>
            <xdr:cNvPr id="1386" name="Option Button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74</xdr:row>
          <xdr:rowOff>180975</xdr:rowOff>
        </xdr:from>
        <xdr:to>
          <xdr:col>4</xdr:col>
          <xdr:colOff>2562225</xdr:colOff>
          <xdr:row>76</xdr:row>
          <xdr:rowOff>9525</xdr:rowOff>
        </xdr:to>
        <xdr:sp macro="" textlink="">
          <xdr:nvSpPr>
            <xdr:cNvPr id="1387" name="Option Button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Vóór 1 januari 2023 én ≤ 24 maanden geleden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75</xdr:row>
          <xdr:rowOff>180975</xdr:rowOff>
        </xdr:from>
        <xdr:to>
          <xdr:col>4</xdr:col>
          <xdr:colOff>2571750</xdr:colOff>
          <xdr:row>77</xdr:row>
          <xdr:rowOff>9525</xdr:rowOff>
        </xdr:to>
        <xdr:sp macro="" textlink="">
          <xdr:nvSpPr>
            <xdr:cNvPr id="1388" name="Option Button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Op of ná 1 januari 2023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2695575</xdr:colOff>
          <xdr:row>77</xdr:row>
          <xdr:rowOff>57150</xdr:rowOff>
        </xdr:to>
        <xdr:sp macro="" textlink="">
          <xdr:nvSpPr>
            <xdr:cNvPr id="1391" name="Group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Triple glas, U ≤ 0,7 W/m2K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79</xdr:row>
          <xdr:rowOff>171450</xdr:rowOff>
        </xdr:from>
        <xdr:to>
          <xdr:col>4</xdr:col>
          <xdr:colOff>2352675</xdr:colOff>
          <xdr:row>81</xdr:row>
          <xdr:rowOff>9525</xdr:rowOff>
        </xdr:to>
        <xdr:sp macro="" textlink="">
          <xdr:nvSpPr>
            <xdr:cNvPr id="1392" name="Option Button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80</xdr:row>
          <xdr:rowOff>171450</xdr:rowOff>
        </xdr:from>
        <xdr:to>
          <xdr:col>4</xdr:col>
          <xdr:colOff>2581275</xdr:colOff>
          <xdr:row>82</xdr:row>
          <xdr:rowOff>9525</xdr:rowOff>
        </xdr:to>
        <xdr:sp macro="" textlink="">
          <xdr:nvSpPr>
            <xdr:cNvPr id="1393" name="Option Button 369" hidden="1">
              <a:extLst>
                <a:ext uri="{63B3BB69-23CF-44E3-9099-C40C66FF867C}">
                  <a14:compatExt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Vóór 1 januari 2023 én ≤ 24 maanden geleden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81</xdr:row>
          <xdr:rowOff>171450</xdr:rowOff>
        </xdr:from>
        <xdr:to>
          <xdr:col>4</xdr:col>
          <xdr:colOff>2514600</xdr:colOff>
          <xdr:row>83</xdr:row>
          <xdr:rowOff>9525</xdr:rowOff>
        </xdr:to>
        <xdr:sp macro="" textlink="">
          <xdr:nvSpPr>
            <xdr:cNvPr id="1394" name="Option Button 370" hidden="1">
              <a:extLst>
                <a:ext uri="{63B3BB69-23CF-44E3-9099-C40C66FF867C}">
                  <a14:compatExt spid="_x0000_s1394"/>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Op of ná 1 januari 2023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2695575</xdr:colOff>
          <xdr:row>83</xdr:row>
          <xdr:rowOff>57150</xdr:rowOff>
        </xdr:to>
        <xdr:sp macro="" textlink="">
          <xdr:nvSpPr>
            <xdr:cNvPr id="1396" name="Group Box 372" hidden="1">
              <a:extLst>
                <a:ext uri="{63B3BB69-23CF-44E3-9099-C40C66FF867C}">
                  <a14:compatExt spid="_x0000_s1396"/>
                </a:ext>
                <a:ext uri="{FF2B5EF4-FFF2-40B4-BE49-F238E27FC236}">
                  <a16:creationId xmlns:a16="http://schemas.microsoft.com/office/drawing/2014/main" id="{00000000-0008-0000-0000-00007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Isolerende panelen, U ≤ 1,2 W/m2K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85</xdr:row>
          <xdr:rowOff>171450</xdr:rowOff>
        </xdr:from>
        <xdr:to>
          <xdr:col>4</xdr:col>
          <xdr:colOff>2619375</xdr:colOff>
          <xdr:row>87</xdr:row>
          <xdr:rowOff>9525</xdr:rowOff>
        </xdr:to>
        <xdr:sp macro="" textlink="">
          <xdr:nvSpPr>
            <xdr:cNvPr id="1397" name="Option Button 373" hidden="1">
              <a:extLst>
                <a:ext uri="{63B3BB69-23CF-44E3-9099-C40C66FF867C}">
                  <a14:compatExt spid="_x0000_s1397"/>
                </a:ext>
                <a:ext uri="{FF2B5EF4-FFF2-40B4-BE49-F238E27FC236}">
                  <a16:creationId xmlns:a16="http://schemas.microsoft.com/office/drawing/2014/main" id="{00000000-0008-0000-0000-00007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86</xdr:row>
          <xdr:rowOff>171450</xdr:rowOff>
        </xdr:from>
        <xdr:to>
          <xdr:col>4</xdr:col>
          <xdr:colOff>2590800</xdr:colOff>
          <xdr:row>88</xdr:row>
          <xdr:rowOff>9525</xdr:rowOff>
        </xdr:to>
        <xdr:sp macro="" textlink="">
          <xdr:nvSpPr>
            <xdr:cNvPr id="1398" name="Option Button 374" hidden="1">
              <a:extLst>
                <a:ext uri="{63B3BB69-23CF-44E3-9099-C40C66FF867C}">
                  <a14:compatExt spid="_x0000_s1398"/>
                </a:ext>
                <a:ext uri="{FF2B5EF4-FFF2-40B4-BE49-F238E27FC236}">
                  <a16:creationId xmlns:a16="http://schemas.microsoft.com/office/drawing/2014/main" id="{00000000-0008-0000-0000-00007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Vóór 1 januari 2023 én ≤ 24 maanden geleden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87</xdr:row>
          <xdr:rowOff>171450</xdr:rowOff>
        </xdr:from>
        <xdr:to>
          <xdr:col>4</xdr:col>
          <xdr:colOff>2543175</xdr:colOff>
          <xdr:row>89</xdr:row>
          <xdr:rowOff>9525</xdr:rowOff>
        </xdr:to>
        <xdr:sp macro="" textlink="">
          <xdr:nvSpPr>
            <xdr:cNvPr id="1399" name="Option Button 375" hidden="1">
              <a:extLst>
                <a:ext uri="{63B3BB69-23CF-44E3-9099-C40C66FF867C}">
                  <a14:compatExt spid="_x0000_s1399"/>
                </a:ext>
                <a:ext uri="{FF2B5EF4-FFF2-40B4-BE49-F238E27FC236}">
                  <a16:creationId xmlns:a16="http://schemas.microsoft.com/office/drawing/2014/main" id="{00000000-0008-0000-0000-00007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Op of ná 1 januari 2023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2695575</xdr:colOff>
          <xdr:row>89</xdr:row>
          <xdr:rowOff>57150</xdr:rowOff>
        </xdr:to>
        <xdr:sp macro="" textlink="">
          <xdr:nvSpPr>
            <xdr:cNvPr id="1401" name="Group Box 377" hidden="1">
              <a:extLst>
                <a:ext uri="{63B3BB69-23CF-44E3-9099-C40C66FF867C}">
                  <a14:compatExt spid="_x0000_s1401"/>
                </a:ext>
                <a:ext uri="{FF2B5EF4-FFF2-40B4-BE49-F238E27FC236}">
                  <a16:creationId xmlns:a16="http://schemas.microsoft.com/office/drawing/2014/main" id="{00000000-0008-0000-0000-000079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Isolerende panelen, U ≤ 0,7 W/m2K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91</xdr:row>
          <xdr:rowOff>171450</xdr:rowOff>
        </xdr:from>
        <xdr:to>
          <xdr:col>4</xdr:col>
          <xdr:colOff>2400300</xdr:colOff>
          <xdr:row>93</xdr:row>
          <xdr:rowOff>9525</xdr:rowOff>
        </xdr:to>
        <xdr:sp macro="" textlink="">
          <xdr:nvSpPr>
            <xdr:cNvPr id="1402" name="Option Button 378" hidden="1">
              <a:extLst>
                <a:ext uri="{63B3BB69-23CF-44E3-9099-C40C66FF867C}">
                  <a14:compatExt spid="_x0000_s1402"/>
                </a:ext>
                <a:ext uri="{FF2B5EF4-FFF2-40B4-BE49-F238E27FC236}">
                  <a16:creationId xmlns:a16="http://schemas.microsoft.com/office/drawing/2014/main" id="{00000000-0008-0000-0000-00007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92</xdr:row>
          <xdr:rowOff>171450</xdr:rowOff>
        </xdr:from>
        <xdr:to>
          <xdr:col>4</xdr:col>
          <xdr:colOff>2571750</xdr:colOff>
          <xdr:row>94</xdr:row>
          <xdr:rowOff>9525</xdr:rowOff>
        </xdr:to>
        <xdr:sp macro="" textlink="">
          <xdr:nvSpPr>
            <xdr:cNvPr id="1403" name="Option Button 379" hidden="1">
              <a:extLst>
                <a:ext uri="{63B3BB69-23CF-44E3-9099-C40C66FF867C}">
                  <a14:compatExt spid="_x0000_s1403"/>
                </a:ext>
                <a:ext uri="{FF2B5EF4-FFF2-40B4-BE49-F238E27FC236}">
                  <a16:creationId xmlns:a16="http://schemas.microsoft.com/office/drawing/2014/main" id="{00000000-0008-0000-0000-00007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Vóór 1 januari 2023 én ≤ 24 maanden geleden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93</xdr:row>
          <xdr:rowOff>171450</xdr:rowOff>
        </xdr:from>
        <xdr:to>
          <xdr:col>4</xdr:col>
          <xdr:colOff>2495550</xdr:colOff>
          <xdr:row>95</xdr:row>
          <xdr:rowOff>9525</xdr:rowOff>
        </xdr:to>
        <xdr:sp macro="" textlink="">
          <xdr:nvSpPr>
            <xdr:cNvPr id="1404" name="Option Button 380" hidden="1">
              <a:extLst>
                <a:ext uri="{63B3BB69-23CF-44E3-9099-C40C66FF867C}">
                  <a14:compatExt spid="_x0000_s1404"/>
                </a:ext>
                <a:ext uri="{FF2B5EF4-FFF2-40B4-BE49-F238E27FC236}">
                  <a16:creationId xmlns:a16="http://schemas.microsoft.com/office/drawing/2014/main" id="{00000000-0008-0000-0000-00007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Op of ná 1 januari 2023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91</xdr:row>
          <xdr:rowOff>0</xdr:rowOff>
        </xdr:from>
        <xdr:to>
          <xdr:col>4</xdr:col>
          <xdr:colOff>2705100</xdr:colOff>
          <xdr:row>95</xdr:row>
          <xdr:rowOff>57150</xdr:rowOff>
        </xdr:to>
        <xdr:sp macro="" textlink="">
          <xdr:nvSpPr>
            <xdr:cNvPr id="1408" name="Group Box 384" hidden="1">
              <a:extLst>
                <a:ext uri="{63B3BB69-23CF-44E3-9099-C40C66FF867C}">
                  <a14:compatExt spid="_x0000_s1408"/>
                </a:ext>
                <a:ext uri="{FF2B5EF4-FFF2-40B4-BE49-F238E27FC236}">
                  <a16:creationId xmlns:a16="http://schemas.microsoft.com/office/drawing/2014/main" id="{00000000-0008-0000-0000-00008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Isolerende deuren, Ud ≤ 1,5 W/m2K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97</xdr:row>
          <xdr:rowOff>180975</xdr:rowOff>
        </xdr:from>
        <xdr:to>
          <xdr:col>4</xdr:col>
          <xdr:colOff>2552700</xdr:colOff>
          <xdr:row>99</xdr:row>
          <xdr:rowOff>19050</xdr:rowOff>
        </xdr:to>
        <xdr:sp macro="" textlink="">
          <xdr:nvSpPr>
            <xdr:cNvPr id="1409" name="Option Button 385" hidden="1">
              <a:extLst>
                <a:ext uri="{63B3BB69-23CF-44E3-9099-C40C66FF867C}">
                  <a14:compatExt spid="_x0000_s1409"/>
                </a:ext>
                <a:ext uri="{FF2B5EF4-FFF2-40B4-BE49-F238E27FC236}">
                  <a16:creationId xmlns:a16="http://schemas.microsoft.com/office/drawing/2014/main" id="{00000000-0008-0000-0000-00008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98</xdr:row>
          <xdr:rowOff>180975</xdr:rowOff>
        </xdr:from>
        <xdr:to>
          <xdr:col>4</xdr:col>
          <xdr:colOff>2619375</xdr:colOff>
          <xdr:row>100</xdr:row>
          <xdr:rowOff>19050</xdr:rowOff>
        </xdr:to>
        <xdr:sp macro="" textlink="">
          <xdr:nvSpPr>
            <xdr:cNvPr id="1410" name="Option Button 386" hidden="1">
              <a:extLst>
                <a:ext uri="{63B3BB69-23CF-44E3-9099-C40C66FF867C}">
                  <a14:compatExt spid="_x0000_s1410"/>
                </a:ext>
                <a:ext uri="{FF2B5EF4-FFF2-40B4-BE49-F238E27FC236}">
                  <a16:creationId xmlns:a16="http://schemas.microsoft.com/office/drawing/2014/main" id="{00000000-0008-0000-0000-00008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Vóór 1 januari 2023 én ≤ 24 maanden geleden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99</xdr:row>
          <xdr:rowOff>180975</xdr:rowOff>
        </xdr:from>
        <xdr:to>
          <xdr:col>4</xdr:col>
          <xdr:colOff>2609850</xdr:colOff>
          <xdr:row>101</xdr:row>
          <xdr:rowOff>19050</xdr:rowOff>
        </xdr:to>
        <xdr:sp macro="" textlink="">
          <xdr:nvSpPr>
            <xdr:cNvPr id="1411" name="Option Button 387" hidden="1">
              <a:extLst>
                <a:ext uri="{63B3BB69-23CF-44E3-9099-C40C66FF867C}">
                  <a14:compatExt spid="_x0000_s1411"/>
                </a:ext>
                <a:ext uri="{FF2B5EF4-FFF2-40B4-BE49-F238E27FC236}">
                  <a16:creationId xmlns:a16="http://schemas.microsoft.com/office/drawing/2014/main" id="{00000000-0008-0000-0000-00008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Op of ná 1 januari 2023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2695575</xdr:colOff>
          <xdr:row>101</xdr:row>
          <xdr:rowOff>57150</xdr:rowOff>
        </xdr:to>
        <xdr:sp macro="" textlink="">
          <xdr:nvSpPr>
            <xdr:cNvPr id="1413" name="Group Box 389" hidden="1">
              <a:extLst>
                <a:ext uri="{63B3BB69-23CF-44E3-9099-C40C66FF867C}">
                  <a14:compatExt spid="_x0000_s1413"/>
                </a:ext>
                <a:ext uri="{FF2B5EF4-FFF2-40B4-BE49-F238E27FC236}">
                  <a16:creationId xmlns:a16="http://schemas.microsoft.com/office/drawing/2014/main" id="{00000000-0008-0000-0000-00008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l-NL" sz="800" b="0" i="0" u="none" strike="noStrike" baseline="0">
                  <a:solidFill>
                    <a:srgbClr val="000000"/>
                  </a:solidFill>
                  <a:latin typeface="Segoe UI"/>
                  <a:cs typeface="Segoe UI"/>
                </a:rPr>
                <a:t>Isolerende deuren, Ud ≤ 1,0 W/m2K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171450</xdr:rowOff>
        </xdr:from>
        <xdr:to>
          <xdr:col>4</xdr:col>
          <xdr:colOff>323850</xdr:colOff>
          <xdr:row>54</xdr:row>
          <xdr:rowOff>28575</xdr:rowOff>
        </xdr:to>
        <xdr:sp macro="" textlink="">
          <xdr:nvSpPr>
            <xdr:cNvPr id="1414" name="Check Box 390" descr="Biobased"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Dakisolatie/Zolder-of vlieringisolatie is biobased</a:t>
              </a:r>
            </a:p>
          </xdr:txBody>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19.xml"/><Relationship Id="rId117" Type="http://schemas.openxmlformats.org/officeDocument/2006/relationships/ctrlProp" Target="../ctrlProps/ctrlProp110.xml"/><Relationship Id="rId21" Type="http://schemas.openxmlformats.org/officeDocument/2006/relationships/ctrlProp" Target="../ctrlProps/ctrlProp14.xml"/><Relationship Id="rId42" Type="http://schemas.openxmlformats.org/officeDocument/2006/relationships/ctrlProp" Target="../ctrlProps/ctrlProp35.xml"/><Relationship Id="rId47" Type="http://schemas.openxmlformats.org/officeDocument/2006/relationships/ctrlProp" Target="../ctrlProps/ctrlProp40.xml"/><Relationship Id="rId63" Type="http://schemas.openxmlformats.org/officeDocument/2006/relationships/ctrlProp" Target="../ctrlProps/ctrlProp56.xml"/><Relationship Id="rId68" Type="http://schemas.openxmlformats.org/officeDocument/2006/relationships/ctrlProp" Target="../ctrlProps/ctrlProp61.xml"/><Relationship Id="rId84" Type="http://schemas.openxmlformats.org/officeDocument/2006/relationships/ctrlProp" Target="../ctrlProps/ctrlProp77.xml"/><Relationship Id="rId89" Type="http://schemas.openxmlformats.org/officeDocument/2006/relationships/ctrlProp" Target="../ctrlProps/ctrlProp82.xml"/><Relationship Id="rId112" Type="http://schemas.openxmlformats.org/officeDocument/2006/relationships/ctrlProp" Target="../ctrlProps/ctrlProp105.xml"/><Relationship Id="rId133" Type="http://schemas.openxmlformats.org/officeDocument/2006/relationships/ctrlProp" Target="../ctrlProps/ctrlProp126.xml"/><Relationship Id="rId138" Type="http://schemas.openxmlformats.org/officeDocument/2006/relationships/ctrlProp" Target="../ctrlProps/ctrlProp131.xml"/><Relationship Id="rId16" Type="http://schemas.openxmlformats.org/officeDocument/2006/relationships/ctrlProp" Target="../ctrlProps/ctrlProp9.xml"/><Relationship Id="rId107" Type="http://schemas.openxmlformats.org/officeDocument/2006/relationships/ctrlProp" Target="../ctrlProps/ctrlProp100.xml"/><Relationship Id="rId11" Type="http://schemas.openxmlformats.org/officeDocument/2006/relationships/ctrlProp" Target="../ctrlProps/ctrlProp4.xml"/><Relationship Id="rId32" Type="http://schemas.openxmlformats.org/officeDocument/2006/relationships/ctrlProp" Target="../ctrlProps/ctrlProp25.xml"/><Relationship Id="rId37" Type="http://schemas.openxmlformats.org/officeDocument/2006/relationships/ctrlProp" Target="../ctrlProps/ctrlProp30.xml"/><Relationship Id="rId53" Type="http://schemas.openxmlformats.org/officeDocument/2006/relationships/ctrlProp" Target="../ctrlProps/ctrlProp46.xml"/><Relationship Id="rId58" Type="http://schemas.openxmlformats.org/officeDocument/2006/relationships/ctrlProp" Target="../ctrlProps/ctrlProp51.xml"/><Relationship Id="rId74" Type="http://schemas.openxmlformats.org/officeDocument/2006/relationships/ctrlProp" Target="../ctrlProps/ctrlProp67.xml"/><Relationship Id="rId79" Type="http://schemas.openxmlformats.org/officeDocument/2006/relationships/ctrlProp" Target="../ctrlProps/ctrlProp72.xml"/><Relationship Id="rId102" Type="http://schemas.openxmlformats.org/officeDocument/2006/relationships/ctrlProp" Target="../ctrlProps/ctrlProp95.xml"/><Relationship Id="rId123" Type="http://schemas.openxmlformats.org/officeDocument/2006/relationships/ctrlProp" Target="../ctrlProps/ctrlProp116.xml"/><Relationship Id="rId128" Type="http://schemas.openxmlformats.org/officeDocument/2006/relationships/ctrlProp" Target="../ctrlProps/ctrlProp121.xml"/><Relationship Id="rId5" Type="http://schemas.openxmlformats.org/officeDocument/2006/relationships/printerSettings" Target="../printerSettings/printerSettings1.bin"/><Relationship Id="rId90" Type="http://schemas.openxmlformats.org/officeDocument/2006/relationships/ctrlProp" Target="../ctrlProps/ctrlProp83.xml"/><Relationship Id="rId95" Type="http://schemas.openxmlformats.org/officeDocument/2006/relationships/ctrlProp" Target="../ctrlProps/ctrlProp88.xml"/><Relationship Id="rId22" Type="http://schemas.openxmlformats.org/officeDocument/2006/relationships/ctrlProp" Target="../ctrlProps/ctrlProp15.xml"/><Relationship Id="rId27" Type="http://schemas.openxmlformats.org/officeDocument/2006/relationships/ctrlProp" Target="../ctrlProps/ctrlProp20.xml"/><Relationship Id="rId43" Type="http://schemas.openxmlformats.org/officeDocument/2006/relationships/ctrlProp" Target="../ctrlProps/ctrlProp36.xml"/><Relationship Id="rId48" Type="http://schemas.openxmlformats.org/officeDocument/2006/relationships/ctrlProp" Target="../ctrlProps/ctrlProp41.xml"/><Relationship Id="rId64" Type="http://schemas.openxmlformats.org/officeDocument/2006/relationships/ctrlProp" Target="../ctrlProps/ctrlProp57.xml"/><Relationship Id="rId69" Type="http://schemas.openxmlformats.org/officeDocument/2006/relationships/ctrlProp" Target="../ctrlProps/ctrlProp62.xml"/><Relationship Id="rId113" Type="http://schemas.openxmlformats.org/officeDocument/2006/relationships/ctrlProp" Target="../ctrlProps/ctrlProp106.xml"/><Relationship Id="rId118" Type="http://schemas.openxmlformats.org/officeDocument/2006/relationships/ctrlProp" Target="../ctrlProps/ctrlProp111.xml"/><Relationship Id="rId134" Type="http://schemas.openxmlformats.org/officeDocument/2006/relationships/ctrlProp" Target="../ctrlProps/ctrlProp127.xml"/><Relationship Id="rId139" Type="http://schemas.openxmlformats.org/officeDocument/2006/relationships/ctrlProp" Target="../ctrlProps/ctrlProp132.xml"/><Relationship Id="rId8" Type="http://schemas.openxmlformats.org/officeDocument/2006/relationships/ctrlProp" Target="../ctrlProps/ctrlProp1.xml"/><Relationship Id="rId51" Type="http://schemas.openxmlformats.org/officeDocument/2006/relationships/ctrlProp" Target="../ctrlProps/ctrlProp44.xml"/><Relationship Id="rId72" Type="http://schemas.openxmlformats.org/officeDocument/2006/relationships/ctrlProp" Target="../ctrlProps/ctrlProp65.xml"/><Relationship Id="rId80" Type="http://schemas.openxmlformats.org/officeDocument/2006/relationships/ctrlProp" Target="../ctrlProps/ctrlProp73.xml"/><Relationship Id="rId85" Type="http://schemas.openxmlformats.org/officeDocument/2006/relationships/ctrlProp" Target="../ctrlProps/ctrlProp78.xml"/><Relationship Id="rId93" Type="http://schemas.openxmlformats.org/officeDocument/2006/relationships/ctrlProp" Target="../ctrlProps/ctrlProp86.xml"/><Relationship Id="rId98" Type="http://schemas.openxmlformats.org/officeDocument/2006/relationships/ctrlProp" Target="../ctrlProps/ctrlProp91.xml"/><Relationship Id="rId121" Type="http://schemas.openxmlformats.org/officeDocument/2006/relationships/ctrlProp" Target="../ctrlProps/ctrlProp114.xml"/><Relationship Id="rId142" Type="http://schemas.openxmlformats.org/officeDocument/2006/relationships/ctrlProp" Target="../ctrlProps/ctrlProp135.xml"/><Relationship Id="rId3" Type="http://schemas.openxmlformats.org/officeDocument/2006/relationships/hyperlink" Target="http://www.rvo.nl/isde-isolatie" TargetMode="Externa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38" Type="http://schemas.openxmlformats.org/officeDocument/2006/relationships/ctrlProp" Target="../ctrlProps/ctrlProp31.xml"/><Relationship Id="rId46" Type="http://schemas.openxmlformats.org/officeDocument/2006/relationships/ctrlProp" Target="../ctrlProps/ctrlProp39.xml"/><Relationship Id="rId59" Type="http://schemas.openxmlformats.org/officeDocument/2006/relationships/ctrlProp" Target="../ctrlProps/ctrlProp52.xml"/><Relationship Id="rId67" Type="http://schemas.openxmlformats.org/officeDocument/2006/relationships/ctrlProp" Target="../ctrlProps/ctrlProp60.xml"/><Relationship Id="rId103" Type="http://schemas.openxmlformats.org/officeDocument/2006/relationships/ctrlProp" Target="../ctrlProps/ctrlProp96.xml"/><Relationship Id="rId108" Type="http://schemas.openxmlformats.org/officeDocument/2006/relationships/ctrlProp" Target="../ctrlProps/ctrlProp101.xml"/><Relationship Id="rId116" Type="http://schemas.openxmlformats.org/officeDocument/2006/relationships/ctrlProp" Target="../ctrlProps/ctrlProp109.xml"/><Relationship Id="rId124" Type="http://schemas.openxmlformats.org/officeDocument/2006/relationships/ctrlProp" Target="../ctrlProps/ctrlProp117.xml"/><Relationship Id="rId129" Type="http://schemas.openxmlformats.org/officeDocument/2006/relationships/ctrlProp" Target="../ctrlProps/ctrlProp122.xml"/><Relationship Id="rId137" Type="http://schemas.openxmlformats.org/officeDocument/2006/relationships/ctrlProp" Target="../ctrlProps/ctrlProp130.xml"/><Relationship Id="rId20" Type="http://schemas.openxmlformats.org/officeDocument/2006/relationships/ctrlProp" Target="../ctrlProps/ctrlProp13.xml"/><Relationship Id="rId41" Type="http://schemas.openxmlformats.org/officeDocument/2006/relationships/ctrlProp" Target="../ctrlProps/ctrlProp34.xml"/><Relationship Id="rId54" Type="http://schemas.openxmlformats.org/officeDocument/2006/relationships/ctrlProp" Target="../ctrlProps/ctrlProp47.xml"/><Relationship Id="rId62" Type="http://schemas.openxmlformats.org/officeDocument/2006/relationships/ctrlProp" Target="../ctrlProps/ctrlProp55.xml"/><Relationship Id="rId70" Type="http://schemas.openxmlformats.org/officeDocument/2006/relationships/ctrlProp" Target="../ctrlProps/ctrlProp63.xml"/><Relationship Id="rId75" Type="http://schemas.openxmlformats.org/officeDocument/2006/relationships/ctrlProp" Target="../ctrlProps/ctrlProp68.xml"/><Relationship Id="rId83" Type="http://schemas.openxmlformats.org/officeDocument/2006/relationships/ctrlProp" Target="../ctrlProps/ctrlProp76.xml"/><Relationship Id="rId88" Type="http://schemas.openxmlformats.org/officeDocument/2006/relationships/ctrlProp" Target="../ctrlProps/ctrlProp81.xml"/><Relationship Id="rId91" Type="http://schemas.openxmlformats.org/officeDocument/2006/relationships/ctrlProp" Target="../ctrlProps/ctrlProp84.xml"/><Relationship Id="rId96" Type="http://schemas.openxmlformats.org/officeDocument/2006/relationships/ctrlProp" Target="../ctrlProps/ctrlProp89.xml"/><Relationship Id="rId111" Type="http://schemas.openxmlformats.org/officeDocument/2006/relationships/ctrlProp" Target="../ctrlProps/ctrlProp104.xml"/><Relationship Id="rId132" Type="http://schemas.openxmlformats.org/officeDocument/2006/relationships/ctrlProp" Target="../ctrlProps/ctrlProp125.xml"/><Relationship Id="rId140" Type="http://schemas.openxmlformats.org/officeDocument/2006/relationships/ctrlProp" Target="../ctrlProps/ctrlProp133.xml"/><Relationship Id="rId1" Type="http://schemas.openxmlformats.org/officeDocument/2006/relationships/hyperlink" Target="https://www.rvo.nl/subsidies-financiering/isde/woningeigenaren/warmtepomp" TargetMode="External"/><Relationship Id="rId6" Type="http://schemas.openxmlformats.org/officeDocument/2006/relationships/drawing" Target="../drawings/drawing1.xml"/><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36" Type="http://schemas.openxmlformats.org/officeDocument/2006/relationships/ctrlProp" Target="../ctrlProps/ctrlProp29.xml"/><Relationship Id="rId49" Type="http://schemas.openxmlformats.org/officeDocument/2006/relationships/ctrlProp" Target="../ctrlProps/ctrlProp42.xml"/><Relationship Id="rId57" Type="http://schemas.openxmlformats.org/officeDocument/2006/relationships/ctrlProp" Target="../ctrlProps/ctrlProp50.xml"/><Relationship Id="rId106" Type="http://schemas.openxmlformats.org/officeDocument/2006/relationships/ctrlProp" Target="../ctrlProps/ctrlProp99.xml"/><Relationship Id="rId114" Type="http://schemas.openxmlformats.org/officeDocument/2006/relationships/ctrlProp" Target="../ctrlProps/ctrlProp107.xml"/><Relationship Id="rId119" Type="http://schemas.openxmlformats.org/officeDocument/2006/relationships/ctrlProp" Target="../ctrlProps/ctrlProp112.xml"/><Relationship Id="rId127" Type="http://schemas.openxmlformats.org/officeDocument/2006/relationships/ctrlProp" Target="../ctrlProps/ctrlProp120.xml"/><Relationship Id="rId10" Type="http://schemas.openxmlformats.org/officeDocument/2006/relationships/ctrlProp" Target="../ctrlProps/ctrlProp3.xml"/><Relationship Id="rId31" Type="http://schemas.openxmlformats.org/officeDocument/2006/relationships/ctrlProp" Target="../ctrlProps/ctrlProp24.xml"/><Relationship Id="rId44" Type="http://schemas.openxmlformats.org/officeDocument/2006/relationships/ctrlProp" Target="../ctrlProps/ctrlProp37.xml"/><Relationship Id="rId52" Type="http://schemas.openxmlformats.org/officeDocument/2006/relationships/ctrlProp" Target="../ctrlProps/ctrlProp45.xml"/><Relationship Id="rId60" Type="http://schemas.openxmlformats.org/officeDocument/2006/relationships/ctrlProp" Target="../ctrlProps/ctrlProp53.xml"/><Relationship Id="rId65" Type="http://schemas.openxmlformats.org/officeDocument/2006/relationships/ctrlProp" Target="../ctrlProps/ctrlProp58.xml"/><Relationship Id="rId73" Type="http://schemas.openxmlformats.org/officeDocument/2006/relationships/ctrlProp" Target="../ctrlProps/ctrlProp66.xml"/><Relationship Id="rId78" Type="http://schemas.openxmlformats.org/officeDocument/2006/relationships/ctrlProp" Target="../ctrlProps/ctrlProp71.xml"/><Relationship Id="rId81" Type="http://schemas.openxmlformats.org/officeDocument/2006/relationships/ctrlProp" Target="../ctrlProps/ctrlProp74.xml"/><Relationship Id="rId86" Type="http://schemas.openxmlformats.org/officeDocument/2006/relationships/ctrlProp" Target="../ctrlProps/ctrlProp79.xml"/><Relationship Id="rId94" Type="http://schemas.openxmlformats.org/officeDocument/2006/relationships/ctrlProp" Target="../ctrlProps/ctrlProp87.xml"/><Relationship Id="rId99" Type="http://schemas.openxmlformats.org/officeDocument/2006/relationships/ctrlProp" Target="../ctrlProps/ctrlProp92.xml"/><Relationship Id="rId101" Type="http://schemas.openxmlformats.org/officeDocument/2006/relationships/ctrlProp" Target="../ctrlProps/ctrlProp94.xml"/><Relationship Id="rId122" Type="http://schemas.openxmlformats.org/officeDocument/2006/relationships/ctrlProp" Target="../ctrlProps/ctrlProp115.xml"/><Relationship Id="rId130" Type="http://schemas.openxmlformats.org/officeDocument/2006/relationships/ctrlProp" Target="../ctrlProps/ctrlProp123.xml"/><Relationship Id="rId135" Type="http://schemas.openxmlformats.org/officeDocument/2006/relationships/ctrlProp" Target="../ctrlProps/ctrlProp128.xml"/><Relationship Id="rId143" Type="http://schemas.openxmlformats.org/officeDocument/2006/relationships/comments" Target="../comments1.xml"/><Relationship Id="rId4" Type="http://schemas.openxmlformats.org/officeDocument/2006/relationships/hyperlink" Target="http://www.rvo.nl/isde-warmtenet" TargetMode="External"/><Relationship Id="rId9" Type="http://schemas.openxmlformats.org/officeDocument/2006/relationships/ctrlProp" Target="../ctrlProps/ctrlProp2.xml"/><Relationship Id="rId13" Type="http://schemas.openxmlformats.org/officeDocument/2006/relationships/ctrlProp" Target="../ctrlProps/ctrlProp6.xml"/><Relationship Id="rId18" Type="http://schemas.openxmlformats.org/officeDocument/2006/relationships/ctrlProp" Target="../ctrlProps/ctrlProp11.xml"/><Relationship Id="rId39" Type="http://schemas.openxmlformats.org/officeDocument/2006/relationships/ctrlProp" Target="../ctrlProps/ctrlProp32.xml"/><Relationship Id="rId109" Type="http://schemas.openxmlformats.org/officeDocument/2006/relationships/ctrlProp" Target="../ctrlProps/ctrlProp102.xml"/><Relationship Id="rId34" Type="http://schemas.openxmlformats.org/officeDocument/2006/relationships/ctrlProp" Target="../ctrlProps/ctrlProp27.xml"/><Relationship Id="rId50" Type="http://schemas.openxmlformats.org/officeDocument/2006/relationships/ctrlProp" Target="../ctrlProps/ctrlProp43.xml"/><Relationship Id="rId55" Type="http://schemas.openxmlformats.org/officeDocument/2006/relationships/ctrlProp" Target="../ctrlProps/ctrlProp48.xml"/><Relationship Id="rId76" Type="http://schemas.openxmlformats.org/officeDocument/2006/relationships/ctrlProp" Target="../ctrlProps/ctrlProp69.xml"/><Relationship Id="rId97" Type="http://schemas.openxmlformats.org/officeDocument/2006/relationships/ctrlProp" Target="../ctrlProps/ctrlProp90.xml"/><Relationship Id="rId104" Type="http://schemas.openxmlformats.org/officeDocument/2006/relationships/ctrlProp" Target="../ctrlProps/ctrlProp97.xml"/><Relationship Id="rId120" Type="http://schemas.openxmlformats.org/officeDocument/2006/relationships/ctrlProp" Target="../ctrlProps/ctrlProp113.xml"/><Relationship Id="rId125" Type="http://schemas.openxmlformats.org/officeDocument/2006/relationships/ctrlProp" Target="../ctrlProps/ctrlProp118.xml"/><Relationship Id="rId141" Type="http://schemas.openxmlformats.org/officeDocument/2006/relationships/ctrlProp" Target="../ctrlProps/ctrlProp134.xml"/><Relationship Id="rId7" Type="http://schemas.openxmlformats.org/officeDocument/2006/relationships/vmlDrawing" Target="../drawings/vmlDrawing1.vml"/><Relationship Id="rId71" Type="http://schemas.openxmlformats.org/officeDocument/2006/relationships/ctrlProp" Target="../ctrlProps/ctrlProp64.xml"/><Relationship Id="rId92" Type="http://schemas.openxmlformats.org/officeDocument/2006/relationships/ctrlProp" Target="../ctrlProps/ctrlProp85.xml"/><Relationship Id="rId2" Type="http://schemas.openxmlformats.org/officeDocument/2006/relationships/hyperlink" Target="https://www.rvo.nl/subsidies-financiering/isde/woningeigenaren/zonneboiler" TargetMode="External"/><Relationship Id="rId29" Type="http://schemas.openxmlformats.org/officeDocument/2006/relationships/ctrlProp" Target="../ctrlProps/ctrlProp22.xml"/><Relationship Id="rId24" Type="http://schemas.openxmlformats.org/officeDocument/2006/relationships/ctrlProp" Target="../ctrlProps/ctrlProp17.xml"/><Relationship Id="rId40" Type="http://schemas.openxmlformats.org/officeDocument/2006/relationships/ctrlProp" Target="../ctrlProps/ctrlProp33.xml"/><Relationship Id="rId45" Type="http://schemas.openxmlformats.org/officeDocument/2006/relationships/ctrlProp" Target="../ctrlProps/ctrlProp38.xml"/><Relationship Id="rId66" Type="http://schemas.openxmlformats.org/officeDocument/2006/relationships/ctrlProp" Target="../ctrlProps/ctrlProp59.xml"/><Relationship Id="rId87" Type="http://schemas.openxmlformats.org/officeDocument/2006/relationships/ctrlProp" Target="../ctrlProps/ctrlProp80.xml"/><Relationship Id="rId110" Type="http://schemas.openxmlformats.org/officeDocument/2006/relationships/ctrlProp" Target="../ctrlProps/ctrlProp103.xml"/><Relationship Id="rId115" Type="http://schemas.openxmlformats.org/officeDocument/2006/relationships/ctrlProp" Target="../ctrlProps/ctrlProp108.xml"/><Relationship Id="rId131" Type="http://schemas.openxmlformats.org/officeDocument/2006/relationships/ctrlProp" Target="../ctrlProps/ctrlProp124.xml"/><Relationship Id="rId136" Type="http://schemas.openxmlformats.org/officeDocument/2006/relationships/ctrlProp" Target="../ctrlProps/ctrlProp129.xml"/><Relationship Id="rId61" Type="http://schemas.openxmlformats.org/officeDocument/2006/relationships/ctrlProp" Target="../ctrlProps/ctrlProp54.xml"/><Relationship Id="rId82" Type="http://schemas.openxmlformats.org/officeDocument/2006/relationships/ctrlProp" Target="../ctrlProps/ctrlProp75.xml"/><Relationship Id="rId19" Type="http://schemas.openxmlformats.org/officeDocument/2006/relationships/ctrlProp" Target="../ctrlProps/ctrlProp12.xml"/><Relationship Id="rId14" Type="http://schemas.openxmlformats.org/officeDocument/2006/relationships/ctrlProp" Target="../ctrlProps/ctrlProp7.xml"/><Relationship Id="rId30" Type="http://schemas.openxmlformats.org/officeDocument/2006/relationships/ctrlProp" Target="../ctrlProps/ctrlProp23.xml"/><Relationship Id="rId35" Type="http://schemas.openxmlformats.org/officeDocument/2006/relationships/ctrlProp" Target="../ctrlProps/ctrlProp28.xml"/><Relationship Id="rId56" Type="http://schemas.openxmlformats.org/officeDocument/2006/relationships/ctrlProp" Target="../ctrlProps/ctrlProp49.xml"/><Relationship Id="rId77" Type="http://schemas.openxmlformats.org/officeDocument/2006/relationships/ctrlProp" Target="../ctrlProps/ctrlProp70.xml"/><Relationship Id="rId100" Type="http://schemas.openxmlformats.org/officeDocument/2006/relationships/ctrlProp" Target="../ctrlProps/ctrlProp93.xml"/><Relationship Id="rId105" Type="http://schemas.openxmlformats.org/officeDocument/2006/relationships/ctrlProp" Target="../ctrlProps/ctrlProp98.xml"/><Relationship Id="rId126" Type="http://schemas.openxmlformats.org/officeDocument/2006/relationships/ctrlProp" Target="../ctrlProps/ctrlProp1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08070-2492-4A7C-A539-0AEACF9B4667}">
  <sheetPr codeName="Blad1">
    <pageSetUpPr fitToPage="1"/>
  </sheetPr>
  <dimension ref="A1:Q174"/>
  <sheetViews>
    <sheetView tabSelected="1" zoomScaleNormal="100" workbookViewId="0">
      <selection activeCell="A6" sqref="A6"/>
    </sheetView>
  </sheetViews>
  <sheetFormatPr defaultColWidth="9.140625" defaultRowHeight="15"/>
  <cols>
    <col min="1" max="1" width="40.140625" style="18" customWidth="1"/>
    <col min="2" max="2" width="1.7109375" style="18" customWidth="1"/>
    <col min="3" max="3" width="40.7109375" style="18" customWidth="1"/>
    <col min="4" max="4" width="1.7109375" style="18" customWidth="1"/>
    <col min="5" max="5" width="40.7109375" style="18" customWidth="1"/>
    <col min="6" max="6" width="1.7109375" style="18" customWidth="1"/>
    <col min="7" max="7" width="18.7109375" style="18" customWidth="1"/>
    <col min="8" max="8" width="1.7109375" style="18" customWidth="1"/>
    <col min="9" max="9" width="15.7109375" style="18" customWidth="1"/>
    <col min="10" max="10" width="1.7109375" style="18" customWidth="1"/>
    <col min="11" max="11" width="12.7109375" style="18" customWidth="1"/>
    <col min="12" max="12" width="1.7109375" style="18" customWidth="1"/>
    <col min="13" max="13" width="13.7109375" style="18" customWidth="1"/>
    <col min="14" max="14" width="1.7109375" style="18" customWidth="1"/>
    <col min="15" max="15" width="13.7109375" style="18" customWidth="1"/>
    <col min="16" max="16" width="2.7109375" style="18" customWidth="1"/>
    <col min="17" max="17" width="91.140625" style="18" customWidth="1"/>
    <col min="18" max="16384" width="9.140625" style="18"/>
  </cols>
  <sheetData>
    <row r="1" spans="1:16" ht="135.75" customHeight="1">
      <c r="A1" s="16"/>
      <c r="B1" s="16"/>
      <c r="C1" s="16"/>
      <c r="D1" s="16"/>
      <c r="E1" s="16"/>
      <c r="F1" s="16"/>
      <c r="G1" s="16"/>
      <c r="H1" s="16"/>
      <c r="I1" s="16"/>
      <c r="J1" s="16"/>
      <c r="K1" s="16"/>
      <c r="L1" s="16"/>
      <c r="M1" s="16"/>
      <c r="N1" s="16"/>
      <c r="O1" s="16"/>
      <c r="P1" s="16"/>
    </row>
    <row r="2" spans="1:16" ht="36.75" customHeight="1">
      <c r="A2" s="115" t="s">
        <v>311</v>
      </c>
      <c r="B2" s="19"/>
      <c r="C2" s="19"/>
    </row>
    <row r="3" spans="1:16">
      <c r="A3" s="18" t="s">
        <v>312</v>
      </c>
    </row>
    <row r="5" spans="1:16" ht="68.25" customHeight="1">
      <c r="A5" s="164" t="s">
        <v>309</v>
      </c>
      <c r="B5" s="164"/>
      <c r="C5" s="165"/>
      <c r="D5" s="165"/>
      <c r="E5" s="165"/>
      <c r="F5" s="165"/>
      <c r="G5" s="165"/>
      <c r="H5" s="165"/>
      <c r="I5" s="165"/>
      <c r="J5" s="165"/>
      <c r="K5" s="165"/>
      <c r="L5" s="165"/>
      <c r="M5" s="165"/>
      <c r="N5" s="165"/>
      <c r="O5" s="165"/>
    </row>
    <row r="6" spans="1:16" ht="33.75" customHeight="1">
      <c r="A6" s="63"/>
      <c r="B6" s="63"/>
      <c r="C6" s="66"/>
      <c r="D6" s="66"/>
      <c r="E6" s="66"/>
      <c r="F6" s="66"/>
      <c r="G6" s="66"/>
      <c r="H6" s="66"/>
      <c r="I6" s="66"/>
      <c r="J6" s="66"/>
    </row>
    <row r="7" spans="1:16" ht="33.75" customHeight="1">
      <c r="A7" s="78" t="s">
        <v>100</v>
      </c>
      <c r="B7" s="63"/>
      <c r="C7" s="66"/>
      <c r="D7" s="66"/>
      <c r="E7" s="66"/>
      <c r="F7" s="66"/>
      <c r="G7" s="66"/>
      <c r="H7" s="66"/>
      <c r="I7" s="66"/>
      <c r="J7" s="66"/>
    </row>
    <row r="8" spans="1:16" ht="20.100000000000001" customHeight="1">
      <c r="A8" s="153" t="s">
        <v>2</v>
      </c>
      <c r="B8" s="153"/>
      <c r="C8" s="154"/>
    </row>
    <row r="9" spans="1:16" ht="20.100000000000001" customHeight="1">
      <c r="A9" s="20" t="s">
        <v>0</v>
      </c>
      <c r="B9" s="20"/>
      <c r="C9" s="68"/>
    </row>
    <row r="10" spans="1:16" ht="20.100000000000001" customHeight="1">
      <c r="A10" s="20" t="s">
        <v>9</v>
      </c>
      <c r="B10" s="21"/>
      <c r="C10" s="68"/>
    </row>
    <row r="11" spans="1:16" ht="20.100000000000001" customHeight="1">
      <c r="A11" s="67" t="s">
        <v>1</v>
      </c>
      <c r="B11" s="67"/>
      <c r="C11" s="68"/>
    </row>
    <row r="14" spans="1:16">
      <c r="A14" s="156" t="s">
        <v>280</v>
      </c>
      <c r="B14" s="156"/>
      <c r="C14" s="157"/>
      <c r="D14" s="158"/>
      <c r="E14" s="158"/>
      <c r="G14" s="46"/>
    </row>
    <row r="15" spans="1:16" ht="20.100000000000001" customHeight="1">
      <c r="A15" s="69"/>
      <c r="B15" s="69"/>
      <c r="C15" s="70"/>
    </row>
    <row r="16" spans="1:16" ht="20.25">
      <c r="A16" s="77" t="s">
        <v>95</v>
      </c>
      <c r="B16" s="69"/>
      <c r="C16" s="70"/>
    </row>
    <row r="17" spans="1:17" ht="23.25">
      <c r="A17" s="22"/>
      <c r="B17" s="69"/>
      <c r="C17" s="70"/>
    </row>
    <row r="18" spans="1:17" ht="15.75">
      <c r="A18" s="75" t="s">
        <v>96</v>
      </c>
      <c r="B18" s="69"/>
      <c r="C18" s="70"/>
      <c r="E18" s="109" t="str">
        <f>IF(Hulpblad!B4=1,"",IF(Hulpblad!B4=2,"Let op: U kunt voor dezelfde techniek niet nogmaals subsidie aanvragen!","Let op: U kunt voor dezelfde techniek niet nogmaals subsidie aanvragen, maar eerder gesubsidieerde én uitgevoerde maatregelen die niet langer dan 24 maanden zijn geleden tellen wel mee voor de twee-maatregelen eis!"))</f>
        <v/>
      </c>
    </row>
    <row r="19" spans="1:17" ht="15.75">
      <c r="A19" s="23"/>
      <c r="B19" s="69"/>
      <c r="C19" s="70"/>
      <c r="E19" s="24"/>
    </row>
    <row r="20" spans="1:17" ht="15.75">
      <c r="A20" s="23"/>
      <c r="B20" s="69"/>
      <c r="C20" s="70"/>
      <c r="E20" s="24"/>
    </row>
    <row r="21" spans="1:17" ht="15.75">
      <c r="A21" s="23"/>
      <c r="B21" s="69"/>
      <c r="C21" s="70"/>
      <c r="E21" s="24"/>
    </row>
    <row r="22" spans="1:17" ht="15.75">
      <c r="A22" s="69"/>
      <c r="B22" s="69"/>
      <c r="C22" s="70"/>
    </row>
    <row r="23" spans="1:17" ht="20.25">
      <c r="A23" s="76" t="s">
        <v>101</v>
      </c>
      <c r="Q23" s="71"/>
    </row>
    <row r="24" spans="1:17">
      <c r="A24" s="109" t="s">
        <v>102</v>
      </c>
      <c r="B24" s="24"/>
      <c r="C24" s="24"/>
      <c r="D24" s="24"/>
      <c r="E24" s="25"/>
      <c r="Q24" s="71"/>
    </row>
    <row r="25" spans="1:17">
      <c r="A25" s="109" t="s">
        <v>103</v>
      </c>
      <c r="B25" s="24"/>
      <c r="C25" s="24"/>
      <c r="D25" s="24"/>
      <c r="E25" s="25"/>
      <c r="Q25" s="71"/>
    </row>
    <row r="26" spans="1:17">
      <c r="A26" s="109" t="s">
        <v>104</v>
      </c>
      <c r="B26" s="24"/>
      <c r="C26" s="24"/>
      <c r="D26" s="24"/>
      <c r="Q26" s="71"/>
    </row>
    <row r="27" spans="1:17" ht="42" customHeight="1">
      <c r="C27" s="68" t="s">
        <v>132</v>
      </c>
      <c r="E27" s="79" t="s">
        <v>79</v>
      </c>
      <c r="G27" s="80" t="s">
        <v>267</v>
      </c>
      <c r="I27" s="80" t="s">
        <v>268</v>
      </c>
      <c r="K27" s="81" t="s">
        <v>269</v>
      </c>
      <c r="M27" s="79" t="s">
        <v>270</v>
      </c>
      <c r="O27" s="80" t="s">
        <v>271</v>
      </c>
      <c r="Q27" s="71"/>
    </row>
    <row r="28" spans="1:17" ht="15" customHeight="1">
      <c r="A28" s="71" t="s">
        <v>51</v>
      </c>
      <c r="E28" s="66"/>
      <c r="G28" s="82" t="str">
        <f>""&amp;VLOOKUP(Hulpblad!C14,Hulpblad!B11:H14,6,FALSE)&amp;" - "&amp;VLOOKUP(Hulpblad!C14,Hulpblad!B11:H14,7,FALSE)&amp;""</f>
        <v xml:space="preserve"> - </v>
      </c>
      <c r="I28" s="83">
        <f>VLOOKUP(Hulpblad!C14,Hulpblad!B11:M14,12,FALSE)</f>
        <v>0</v>
      </c>
      <c r="K28" s="84"/>
      <c r="L28" s="71"/>
      <c r="M28" s="85">
        <f>IF(AND(I28&gt;0,K28&gt;=Hulpblad!G14),MIN(Hulpblad!H14,K28),0)</f>
        <v>0</v>
      </c>
      <c r="N28" s="71"/>
      <c r="O28" s="86">
        <f>I28*M28</f>
        <v>0</v>
      </c>
      <c r="Q28" s="109" t="str">
        <f>IF(Hulpblad!C14="Geen dakisolatie","",
IF(Hulpblad!E14=1,"Vul in wanneer de isolatie is aangebracht",
IF(K28=0,"Vul in de blauwe cel het aantal m² te isoleren oppervlak in",
IF(K28&lt;Hulpblad!G14,"U voldoet niet aan het minimum oppervlakte om voor subsidie in aanmerking te komen.",""))))</f>
        <v/>
      </c>
    </row>
    <row r="29" spans="1:17" ht="15" customHeight="1">
      <c r="C29" s="26"/>
      <c r="Q29" s="71"/>
    </row>
    <row r="30" spans="1:17" ht="15" customHeight="1">
      <c r="C30" s="26"/>
      <c r="Q30" s="71"/>
    </row>
    <row r="31" spans="1:17" ht="15" customHeight="1">
      <c r="C31" s="26"/>
      <c r="Q31" s="71"/>
    </row>
    <row r="32" spans="1:17" ht="15" customHeight="1">
      <c r="C32" s="26"/>
      <c r="Q32" s="71"/>
    </row>
    <row r="33" spans="1:17" ht="15.75" customHeight="1">
      <c r="C33" s="26"/>
      <c r="I33" s="28"/>
      <c r="K33" s="29"/>
      <c r="O33" s="26"/>
      <c r="Q33" s="72"/>
    </row>
    <row r="34" spans="1:17" ht="15" customHeight="1">
      <c r="A34" s="71" t="s">
        <v>52</v>
      </c>
      <c r="C34" s="26"/>
      <c r="G34" s="82" t="str">
        <f>""&amp;VLOOKUP(Hulpblad!C18,Hulpblad!B16:H17,6,FALSE)&amp;" - "&amp;VLOOKUP(Hulpblad!C18,Hulpblad!B16:H17,7,FALSE)&amp;""</f>
        <v xml:space="preserve"> - </v>
      </c>
      <c r="H34" s="71"/>
      <c r="I34" s="83">
        <f>VLOOKUP(Hulpblad!C18,Hulpblad!B16:M17,12,FALSE)</f>
        <v>0</v>
      </c>
      <c r="J34" s="71"/>
      <c r="K34" s="84"/>
      <c r="L34" s="71"/>
      <c r="M34" s="85">
        <f>IF(AND(I34&gt;0,K34&gt;=Hulpblad!G17),MIN(Hulpblad!H17,K34),0)</f>
        <v>0</v>
      </c>
      <c r="N34" s="71"/>
      <c r="O34" s="86">
        <f>I34*M34</f>
        <v>0</v>
      </c>
      <c r="Q34" s="109" t="str">
        <f>IF(Hulpblad!C18="Geen gevelisolatie","",
IF(Hulpblad!E19=1,"Vul in wanneer de isolatie is aangebracht",
IF(K34=0,"Vul in de blauwe cel het aantal m² te isoleren oppervlak in",
IF(K34&lt;Hulpblad!G17,"U voldoet niet aan het minimum oppervlakte om voor subsidie in aanmerking te komen.",""))))</f>
        <v/>
      </c>
    </row>
    <row r="35" spans="1:17" ht="15" customHeight="1">
      <c r="C35" s="26"/>
      <c r="G35" s="87"/>
      <c r="H35" s="71"/>
      <c r="I35" s="88"/>
      <c r="J35" s="71"/>
      <c r="K35" s="116"/>
      <c r="L35" s="71"/>
      <c r="M35" s="74"/>
      <c r="N35" s="71"/>
      <c r="O35" s="89"/>
      <c r="Q35" s="109"/>
    </row>
    <row r="36" spans="1:17" ht="15" customHeight="1">
      <c r="C36" s="26"/>
      <c r="G36" s="87"/>
      <c r="H36" s="71"/>
      <c r="I36" s="88"/>
      <c r="J36" s="71"/>
      <c r="K36" s="116"/>
      <c r="L36" s="71"/>
      <c r="M36" s="74"/>
      <c r="N36" s="71"/>
      <c r="O36" s="89"/>
      <c r="Q36" s="109"/>
    </row>
    <row r="37" spans="1:17" ht="15" customHeight="1">
      <c r="C37" s="26"/>
      <c r="G37" s="87"/>
      <c r="H37" s="71"/>
      <c r="I37" s="88"/>
      <c r="J37" s="71"/>
      <c r="K37" s="116"/>
      <c r="L37" s="71"/>
      <c r="M37" s="74"/>
      <c r="N37" s="71"/>
      <c r="O37" s="89"/>
      <c r="Q37" s="109"/>
    </row>
    <row r="38" spans="1:17" ht="15" customHeight="1">
      <c r="C38" s="26"/>
      <c r="G38" s="87"/>
      <c r="H38" s="71"/>
      <c r="I38" s="88"/>
      <c r="J38" s="71"/>
      <c r="K38" s="116"/>
      <c r="L38" s="71"/>
      <c r="M38" s="74"/>
      <c r="N38" s="71"/>
      <c r="O38" s="89"/>
      <c r="Q38" s="109"/>
    </row>
    <row r="39" spans="1:17" ht="15.75" customHeight="1">
      <c r="C39" s="26"/>
      <c r="G39" s="71"/>
      <c r="H39" s="71"/>
      <c r="I39" s="90"/>
      <c r="J39" s="71"/>
      <c r="K39" s="87"/>
      <c r="L39" s="71"/>
      <c r="M39" s="71"/>
      <c r="N39" s="71"/>
      <c r="O39" s="91"/>
      <c r="Q39" s="72"/>
    </row>
    <row r="40" spans="1:17" ht="15" customHeight="1">
      <c r="A40" s="71" t="s">
        <v>53</v>
      </c>
      <c r="C40" s="26"/>
      <c r="G40" s="82" t="str">
        <f>""&amp;VLOOKUP(Hulpblad!C23,Hulpblad!B21:H22,6,FALSE)&amp;" - "&amp;VLOOKUP(Hulpblad!C23,Hulpblad!B21:H22,7,FALSE)&amp;""</f>
        <v xml:space="preserve"> - </v>
      </c>
      <c r="H40" s="71"/>
      <c r="I40" s="83">
        <f>VLOOKUP(Hulpblad!C23,Hulpblad!B21:M22,12,FALSE)</f>
        <v>0</v>
      </c>
      <c r="J40" s="71"/>
      <c r="K40" s="84"/>
      <c r="L40" s="71"/>
      <c r="M40" s="85">
        <f>IF(AND(I40&gt;0,K40&gt;=Hulpblad!G22),MIN(Hulpblad!H22,K40),0)</f>
        <v>0</v>
      </c>
      <c r="N40" s="71"/>
      <c r="O40" s="86">
        <f>I40*M40</f>
        <v>0</v>
      </c>
      <c r="Q40" s="109" t="str">
        <f>IF(Hulpblad!C23="Geen spouwmuurisolatie","",
IF(Hulpblad!E24=1,"Vul in wanneer de isolatie is aangebracht",
IF(K40=0,"Vul in de blauwe cel het aantal m² te isoleren oppervlak in",
IF(K40&lt;Hulpblad!G22,"U voldoet niet aan het minimum oppervlakte om voor subsidie in aanmerking te komen.",""))))</f>
        <v/>
      </c>
    </row>
    <row r="41" spans="1:17" ht="15" customHeight="1">
      <c r="C41" s="26"/>
      <c r="G41" s="87"/>
      <c r="H41" s="71"/>
      <c r="I41" s="88"/>
      <c r="J41" s="71"/>
      <c r="K41" s="116"/>
      <c r="L41" s="71"/>
      <c r="M41" s="74"/>
      <c r="N41" s="71"/>
      <c r="O41" s="89"/>
      <c r="Q41" s="109"/>
    </row>
    <row r="42" spans="1:17" ht="15" customHeight="1">
      <c r="C42" s="26"/>
      <c r="G42" s="87"/>
      <c r="H42" s="71"/>
      <c r="I42" s="88"/>
      <c r="J42" s="71"/>
      <c r="K42" s="116"/>
      <c r="L42" s="71"/>
      <c r="M42" s="74"/>
      <c r="N42" s="71"/>
      <c r="O42" s="89"/>
      <c r="Q42" s="109"/>
    </row>
    <row r="43" spans="1:17" ht="15" customHeight="1">
      <c r="C43" s="26"/>
      <c r="G43" s="87"/>
      <c r="H43" s="71"/>
      <c r="I43" s="88"/>
      <c r="J43" s="71"/>
      <c r="K43" s="116"/>
      <c r="L43" s="71"/>
      <c r="M43" s="74"/>
      <c r="N43" s="71"/>
      <c r="O43" s="89"/>
      <c r="Q43" s="109"/>
    </row>
    <row r="44" spans="1:17" ht="15" customHeight="1">
      <c r="C44" s="26"/>
      <c r="G44" s="87"/>
      <c r="H44" s="71"/>
      <c r="I44" s="88"/>
      <c r="J44" s="71"/>
      <c r="K44" s="116"/>
      <c r="L44" s="71"/>
      <c r="M44" s="74"/>
      <c r="N44" s="71"/>
      <c r="O44" s="89"/>
      <c r="Q44" s="109"/>
    </row>
    <row r="45" spans="1:17" ht="15" customHeight="1">
      <c r="C45" s="26"/>
      <c r="G45" s="71"/>
      <c r="H45" s="71"/>
      <c r="I45" s="90"/>
      <c r="J45" s="71"/>
      <c r="K45" s="87"/>
      <c r="L45" s="71"/>
      <c r="M45" s="71"/>
      <c r="N45" s="71"/>
      <c r="O45" s="91"/>
      <c r="Q45" s="72"/>
    </row>
    <row r="46" spans="1:17" ht="15" customHeight="1">
      <c r="A46" s="71" t="s">
        <v>54</v>
      </c>
      <c r="C46" s="26"/>
      <c r="G46" s="82" t="str">
        <f>""&amp;VLOOKUP(Hulpblad!C29,Hulpblad!B26:H28,6,FALSE)&amp;" - "&amp;VLOOKUP(Hulpblad!C29,Hulpblad!B26:H28,7,FALSE)&amp;""</f>
        <v xml:space="preserve"> - </v>
      </c>
      <c r="H46" s="71"/>
      <c r="I46" s="83">
        <f>VLOOKUP(Hulpblad!C29,Hulpblad!B26:M28,12,FALSE)</f>
        <v>0</v>
      </c>
      <c r="J46" s="71"/>
      <c r="K46" s="84"/>
      <c r="L46" s="71"/>
      <c r="M46" s="85">
        <f>IF(AND(I46&gt;0,K46&gt;=Hulpblad!G27),MIN(Hulpblad!H27,K46),0)</f>
        <v>0</v>
      </c>
      <c r="N46" s="71"/>
      <c r="O46" s="86">
        <f>I46*M46</f>
        <v>0</v>
      </c>
      <c r="Q46" s="109" t="str">
        <f>IF(Hulpblad!C29="Geen vloerisolatie","",
IF(Hulpblad!E29=1,"Vul in wanneer de isolatie is aangebracht",
IF(K46=0,"Vul in de blauwe cel het aantal m² te isoleren oppervlak in",
IF(K46&lt;Hulpblad!G27,"U voldoet niet aan het minimum oppervlakte om voor subsidie in aanmerking te komen.",""))))</f>
        <v/>
      </c>
    </row>
    <row r="47" spans="1:17">
      <c r="C47" s="26"/>
      <c r="Q47" s="71"/>
    </row>
    <row r="48" spans="1:17" ht="15" customHeight="1">
      <c r="C48" s="26"/>
      <c r="G48" s="28"/>
      <c r="I48" s="28"/>
      <c r="K48" s="29"/>
      <c r="O48" s="30"/>
      <c r="Q48" s="72"/>
    </row>
    <row r="49" spans="1:17" ht="15" customHeight="1">
      <c r="C49" s="26"/>
      <c r="G49" s="28"/>
      <c r="I49" s="28"/>
      <c r="K49" s="29"/>
      <c r="O49" s="30"/>
      <c r="Q49" s="72"/>
    </row>
    <row r="50" spans="1:17" ht="15" customHeight="1">
      <c r="C50" s="26"/>
      <c r="G50" s="28"/>
      <c r="I50" s="28"/>
      <c r="K50" s="29"/>
      <c r="O50" s="30"/>
      <c r="Q50" s="72"/>
    </row>
    <row r="51" spans="1:17" ht="30" customHeight="1">
      <c r="A51" s="71" t="s">
        <v>266</v>
      </c>
      <c r="C51" s="26"/>
      <c r="I51" s="160" t="s">
        <v>310</v>
      </c>
      <c r="Q51" s="71"/>
    </row>
    <row r="52" spans="1:17" ht="15" customHeight="1">
      <c r="A52" s="71" t="s">
        <v>127</v>
      </c>
      <c r="C52" s="26"/>
      <c r="I52" s="161"/>
      <c r="J52" s="71"/>
      <c r="K52" s="71"/>
      <c r="L52" s="71"/>
      <c r="M52" s="71"/>
      <c r="N52" s="71"/>
      <c r="O52" s="71" t="s">
        <v>272</v>
      </c>
      <c r="Q52" s="71"/>
    </row>
    <row r="53" spans="1:17" ht="15" customHeight="1">
      <c r="C53" s="26"/>
      <c r="I53" s="71"/>
      <c r="J53" s="71"/>
      <c r="K53" s="71"/>
      <c r="L53" s="71"/>
      <c r="M53" s="71"/>
      <c r="N53" s="71"/>
      <c r="O53" s="71"/>
      <c r="Q53" s="71"/>
    </row>
    <row r="54" spans="1:17" ht="15" customHeight="1">
      <c r="C54" s="26"/>
      <c r="I54" s="148">
        <f>IF(Hulpblad!B32=FALSE,0,VLOOKUP(Hulpblad!C14,Hulpblad!B11:N14,13,FALSE))</f>
        <v>0</v>
      </c>
      <c r="J54" s="71"/>
      <c r="K54" s="71"/>
      <c r="L54" s="71"/>
      <c r="M54" s="71"/>
      <c r="N54" s="71"/>
      <c r="O54" s="86">
        <f>M28*I54</f>
        <v>0</v>
      </c>
      <c r="Q54" s="109" t="str">
        <f>IF(AND(O28&gt;0,Hulpblad!E14&lt;3,Hulpblad!B32=TRUE),"U komt niet in aanmerking voor een MKI-bonus omdat de dakisolatie-maatregel vóór 1 januari 2024 is uitgevoerd.","")</f>
        <v/>
      </c>
    </row>
    <row r="55" spans="1:17" ht="15" customHeight="1">
      <c r="C55" s="26"/>
      <c r="I55" s="71"/>
      <c r="J55" s="71"/>
      <c r="K55" s="71"/>
      <c r="L55" s="71"/>
      <c r="M55" s="71"/>
      <c r="N55" s="71"/>
      <c r="O55" s="71"/>
      <c r="Q55" s="71"/>
    </row>
    <row r="56" spans="1:17" ht="15" customHeight="1">
      <c r="C56" s="26"/>
      <c r="E56" s="26"/>
      <c r="I56" s="148">
        <f>IF(Hulpblad!B33=FALSE,0,VLOOKUP(Hulpblad!C18,Hulpblad!B16:N17,13,FALSE))</f>
        <v>0</v>
      </c>
      <c r="J56" s="71"/>
      <c r="K56" s="71"/>
      <c r="L56" s="71"/>
      <c r="M56" s="71"/>
      <c r="N56" s="71"/>
      <c r="O56" s="86">
        <f>M34*I56</f>
        <v>0</v>
      </c>
      <c r="Q56" s="109" t="str">
        <f>IF(AND(O34&gt;0,Hulpblad!E19&lt;3,Hulpblad!B33=TRUE),"U komt niet in aanmerking voor een MKI-bonus omdat de gevelisolatie-maatregel vóór 1 januari 2024 is uitgevoerd.","")</f>
        <v/>
      </c>
    </row>
    <row r="57" spans="1:17" ht="15" customHeight="1">
      <c r="C57" s="26"/>
      <c r="I57" s="71"/>
      <c r="J57" s="71"/>
      <c r="K57" s="71"/>
      <c r="L57" s="71"/>
      <c r="M57" s="71"/>
      <c r="N57" s="71"/>
      <c r="O57" s="71"/>
      <c r="Q57" s="71"/>
    </row>
    <row r="58" spans="1:17" ht="15" customHeight="1">
      <c r="C58" s="26"/>
      <c r="I58" s="148">
        <f>IF(Hulpblad!B34=FALSE,0,VLOOKUP(Hulpblad!C23,Hulpblad!B21:N22,13,FALSE))</f>
        <v>0</v>
      </c>
      <c r="J58" s="71"/>
      <c r="K58" s="71"/>
      <c r="L58" s="71"/>
      <c r="M58" s="71"/>
      <c r="N58" s="71"/>
      <c r="O58" s="86">
        <f>M40*I58</f>
        <v>0</v>
      </c>
      <c r="Q58" s="109" t="str">
        <f>IF(AND(O40&gt;0,Hulpblad!E24&lt;3,Hulpblad!B34=TRUE),"U komt niet in aanmerking voor een MKI-bonus omdat de spouwmuurisolatie-maatregel vóór 1 januari 2024 is uitgevoerd.","")</f>
        <v/>
      </c>
    </row>
    <row r="59" spans="1:17" ht="15" customHeight="1">
      <c r="C59" s="26"/>
      <c r="I59" s="71"/>
      <c r="J59" s="71"/>
      <c r="K59" s="71"/>
      <c r="L59" s="71"/>
      <c r="M59" s="71"/>
      <c r="N59" s="71"/>
      <c r="O59" s="71"/>
      <c r="Q59" s="71"/>
    </row>
    <row r="60" spans="1:17" ht="15" customHeight="1">
      <c r="A60" s="31"/>
      <c r="C60" s="26"/>
      <c r="G60" s="26"/>
      <c r="I60" s="148">
        <f>IF(Hulpblad!B35=FALSE,0,VLOOKUP(Hulpblad!C29,Hulpblad!B26:N28,13,FALSE))</f>
        <v>0</v>
      </c>
      <c r="J60" s="71"/>
      <c r="K60" s="71"/>
      <c r="L60" s="71"/>
      <c r="M60" s="71"/>
      <c r="N60" s="71"/>
      <c r="O60" s="86">
        <f>M46*I60</f>
        <v>0</v>
      </c>
      <c r="Q60" s="109" t="str">
        <f>IF(AND(O46&gt;0,Hulpblad!E29&lt;3,Hulpblad!B35=TRUE),"U komt niet in aanmerking voor een MKI-bonus omdat de vloerisolatie-maatregel vóór 1 januari 2024 is uitgevoerd.","")</f>
        <v/>
      </c>
    </row>
    <row r="61" spans="1:17" ht="15" customHeight="1">
      <c r="A61" s="31"/>
      <c r="C61" s="26"/>
      <c r="G61" s="26"/>
      <c r="Q61" s="71"/>
    </row>
    <row r="62" spans="1:17" ht="15" customHeight="1">
      <c r="A62" s="31"/>
      <c r="C62" s="26"/>
      <c r="G62" s="26"/>
      <c r="Q62" s="71"/>
    </row>
    <row r="63" spans="1:17">
      <c r="A63" s="72" t="s">
        <v>109</v>
      </c>
      <c r="D63" s="32"/>
      <c r="E63" s="32"/>
      <c r="F63" s="32"/>
      <c r="G63" s="32"/>
      <c r="H63" s="32"/>
      <c r="I63" s="33"/>
      <c r="J63" s="33"/>
      <c r="K63" s="26"/>
      <c r="L63" s="26"/>
      <c r="M63" s="26"/>
      <c r="N63" s="26"/>
      <c r="O63" s="26"/>
      <c r="P63" s="26"/>
      <c r="Q63" s="71"/>
    </row>
    <row r="64" spans="1:17" ht="15" customHeight="1">
      <c r="D64" s="32"/>
      <c r="F64" s="32"/>
      <c r="H64" s="32"/>
      <c r="J64" s="33"/>
      <c r="L64" s="26"/>
      <c r="N64" s="26"/>
      <c r="P64" s="26"/>
      <c r="Q64" s="71"/>
    </row>
    <row r="65" spans="1:17" ht="66.75">
      <c r="A65" s="73" t="s">
        <v>108</v>
      </c>
      <c r="D65" s="32"/>
      <c r="E65" s="92" t="s">
        <v>79</v>
      </c>
      <c r="F65" s="32"/>
      <c r="G65" s="92" t="s">
        <v>273</v>
      </c>
      <c r="H65" s="32"/>
      <c r="I65" s="92" t="s">
        <v>268</v>
      </c>
      <c r="J65" s="93"/>
      <c r="K65" s="94" t="s">
        <v>269</v>
      </c>
      <c r="L65" s="74"/>
      <c r="M65" s="95" t="s">
        <v>274</v>
      </c>
      <c r="N65" s="74"/>
      <c r="O65" s="92" t="s">
        <v>271</v>
      </c>
      <c r="P65" s="26"/>
      <c r="Q65" s="71"/>
    </row>
    <row r="66" spans="1:17">
      <c r="D66" s="32"/>
      <c r="E66" s="32"/>
      <c r="F66" s="32"/>
      <c r="G66" s="32"/>
      <c r="H66" s="32"/>
      <c r="I66" s="93"/>
      <c r="J66" s="93"/>
      <c r="K66" s="74"/>
      <c r="L66" s="74"/>
      <c r="M66" s="74"/>
      <c r="N66" s="74"/>
      <c r="O66" s="74"/>
      <c r="P66" s="26"/>
      <c r="Q66" s="71"/>
    </row>
    <row r="67" spans="1:17">
      <c r="D67" s="32"/>
      <c r="E67" s="32"/>
      <c r="F67" s="32"/>
      <c r="G67" s="32"/>
      <c r="H67" s="32"/>
      <c r="I67" s="93"/>
      <c r="J67" s="93"/>
      <c r="K67" s="74"/>
      <c r="L67" s="74"/>
      <c r="M67" s="74"/>
      <c r="N67" s="74"/>
      <c r="O67" s="74"/>
      <c r="P67" s="26"/>
      <c r="Q67" s="71"/>
    </row>
    <row r="68" spans="1:17">
      <c r="A68" s="74" t="str">
        <f>Hulpblad!B43</f>
        <v>Niet van toepassing</v>
      </c>
      <c r="D68" s="32"/>
      <c r="F68" s="32"/>
      <c r="G68" s="169" t="str">
        <f>IF(Hulpblad!B40=1,"","8 - 45")</f>
        <v/>
      </c>
      <c r="H68" s="32"/>
      <c r="I68" s="83">
        <f>Hulpblad!M43</f>
        <v>0</v>
      </c>
      <c r="J68" s="93"/>
      <c r="K68" s="96"/>
      <c r="L68" s="74"/>
      <c r="M68" s="85">
        <f>IF(AND(I68&gt;0,K68&gt;0),MIN(45-M74-M86-M98,K68),0)</f>
        <v>0</v>
      </c>
      <c r="N68" s="74"/>
      <c r="O68" s="86">
        <f>I68*M68</f>
        <v>0</v>
      </c>
      <c r="P68" s="26"/>
      <c r="Q68" s="155" t="str">
        <f>IF(Hulpblad!$B$68="Niet van toepassing","",
IF(Hulpblad!D43="Nee","",
IF(Hulpblad!H43="Niet van toepassing","Vul in wanneer het isolerende glas is aangebracht",
IF(AND(Hulpblad!D43="Ja",K68=0),"Vul in de blauwe cel het aantal m² te isoleren oppervlak in",""))))</f>
        <v/>
      </c>
    </row>
    <row r="69" spans="1:17">
      <c r="A69" s="26"/>
      <c r="D69" s="32"/>
      <c r="E69" s="32"/>
      <c r="F69" s="32"/>
      <c r="G69" s="170"/>
      <c r="H69" s="32"/>
      <c r="I69" s="88"/>
      <c r="J69" s="93"/>
      <c r="K69" s="117"/>
      <c r="L69" s="74"/>
      <c r="M69" s="74"/>
      <c r="N69" s="74"/>
      <c r="O69" s="89"/>
      <c r="P69" s="26"/>
      <c r="Q69" s="155"/>
    </row>
    <row r="70" spans="1:17">
      <c r="A70" s="26"/>
      <c r="D70" s="32"/>
      <c r="E70" s="32"/>
      <c r="F70" s="32"/>
      <c r="G70" s="170"/>
      <c r="H70" s="32"/>
      <c r="I70" s="88"/>
      <c r="J70" s="93"/>
      <c r="K70" s="117"/>
      <c r="L70" s="74"/>
      <c r="M70" s="74"/>
      <c r="N70" s="74"/>
      <c r="O70" s="89"/>
      <c r="P70" s="26"/>
      <c r="Q70" s="155"/>
    </row>
    <row r="71" spans="1:17" ht="15" customHeight="1">
      <c r="A71" s="26"/>
      <c r="D71" s="32"/>
      <c r="E71" s="32"/>
      <c r="F71" s="32"/>
      <c r="G71" s="170"/>
      <c r="H71" s="32"/>
      <c r="I71" s="93"/>
      <c r="J71" s="93"/>
      <c r="K71" s="97"/>
      <c r="L71" s="74"/>
      <c r="M71" s="74"/>
      <c r="N71" s="74"/>
      <c r="O71" s="74"/>
      <c r="P71" s="26"/>
      <c r="Q71" s="155"/>
    </row>
    <row r="72" spans="1:17" ht="15" customHeight="1">
      <c r="A72" s="26"/>
      <c r="D72" s="32"/>
      <c r="E72" s="32"/>
      <c r="F72" s="32"/>
      <c r="G72" s="170"/>
      <c r="H72" s="32"/>
      <c r="I72" s="93"/>
      <c r="J72" s="93"/>
      <c r="K72" s="97"/>
      <c r="L72" s="74"/>
      <c r="M72" s="74"/>
      <c r="N72" s="74"/>
      <c r="O72" s="74"/>
      <c r="P72" s="26"/>
      <c r="Q72" s="110"/>
    </row>
    <row r="73" spans="1:17" ht="15" customHeight="1">
      <c r="A73" s="26"/>
      <c r="D73" s="32"/>
      <c r="E73" s="32"/>
      <c r="F73" s="32"/>
      <c r="G73" s="170"/>
      <c r="H73" s="32"/>
      <c r="I73" s="93"/>
      <c r="J73" s="93"/>
      <c r="K73" s="97"/>
      <c r="L73" s="74"/>
      <c r="M73" s="74"/>
      <c r="N73" s="74"/>
      <c r="O73" s="74"/>
      <c r="P73" s="26"/>
      <c r="Q73" s="110"/>
    </row>
    <row r="74" spans="1:17" ht="15" customHeight="1">
      <c r="A74" s="74" t="str">
        <f>Hulpblad!B47</f>
        <v>Niet van toepassing</v>
      </c>
      <c r="D74" s="32"/>
      <c r="E74" s="32"/>
      <c r="F74" s="32"/>
      <c r="G74" s="170"/>
      <c r="H74" s="32"/>
      <c r="I74" s="83">
        <f>Hulpblad!M47</f>
        <v>0</v>
      </c>
      <c r="J74" s="93"/>
      <c r="K74" s="96"/>
      <c r="L74" s="74"/>
      <c r="M74" s="85">
        <f>IF(AND(I74&gt;0,K74&gt;0),MIN(45,K74),0)</f>
        <v>0</v>
      </c>
      <c r="N74" s="74"/>
      <c r="O74" s="86">
        <f>I74*M74</f>
        <v>0</v>
      </c>
      <c r="P74" s="26"/>
      <c r="Q74" s="155" t="str">
        <f>IF(Hulpblad!$B$68="Niet van toepassing","",
IF(Hulpblad!D47="Nee","",
IF(Hulpblad!H47="Niet van toepassing","Vul in wanneer het isolerende glas is aangebracht",
IF(AND(Hulpblad!D47="Ja",K74=0),"Vul in de blauwe cel het aantal m² te isoleren oppervlak in",""))))</f>
        <v/>
      </c>
    </row>
    <row r="75" spans="1:17" ht="15" customHeight="1">
      <c r="A75" s="26"/>
      <c r="D75" s="32"/>
      <c r="E75" s="32"/>
      <c r="F75" s="32"/>
      <c r="G75" s="170"/>
      <c r="H75" s="32"/>
      <c r="I75" s="93"/>
      <c r="J75" s="93"/>
      <c r="K75" s="97"/>
      <c r="L75" s="74"/>
      <c r="M75" s="74"/>
      <c r="N75" s="74"/>
      <c r="O75" s="74"/>
      <c r="P75" s="26"/>
      <c r="Q75" s="155"/>
    </row>
    <row r="76" spans="1:17">
      <c r="D76" s="32"/>
      <c r="E76" s="32"/>
      <c r="F76" s="32"/>
      <c r="G76" s="170"/>
      <c r="H76" s="32"/>
      <c r="I76" s="71"/>
      <c r="J76" s="71"/>
      <c r="K76" s="71"/>
      <c r="L76" s="71"/>
      <c r="M76" s="71"/>
      <c r="N76" s="71"/>
      <c r="O76" s="71"/>
      <c r="P76" s="26"/>
      <c r="Q76" s="71"/>
    </row>
    <row r="77" spans="1:17" ht="15" customHeight="1">
      <c r="A77" s="26"/>
      <c r="D77" s="32"/>
      <c r="E77" s="32"/>
      <c r="F77" s="32"/>
      <c r="G77" s="170"/>
      <c r="H77" s="32"/>
      <c r="I77" s="93"/>
      <c r="J77" s="93"/>
      <c r="K77" s="97"/>
      <c r="L77" s="74"/>
      <c r="M77" s="74"/>
      <c r="N77" s="74"/>
      <c r="O77" s="74"/>
      <c r="P77" s="26"/>
      <c r="Q77" s="71"/>
    </row>
    <row r="78" spans="1:17" ht="15" customHeight="1">
      <c r="A78" s="26"/>
      <c r="D78" s="32"/>
      <c r="E78" s="32"/>
      <c r="F78" s="32"/>
      <c r="G78" s="170"/>
      <c r="H78" s="32"/>
      <c r="I78" s="93"/>
      <c r="J78" s="93"/>
      <c r="K78" s="97"/>
      <c r="L78" s="74"/>
      <c r="M78" s="74"/>
      <c r="N78" s="74"/>
      <c r="O78" s="74"/>
      <c r="P78" s="26"/>
      <c r="Q78" s="71"/>
    </row>
    <row r="79" spans="1:17" ht="15" customHeight="1">
      <c r="A79" s="26"/>
      <c r="D79" s="32"/>
      <c r="E79" s="32"/>
      <c r="F79" s="32"/>
      <c r="G79" s="170"/>
      <c r="H79" s="32"/>
      <c r="I79" s="93"/>
      <c r="J79" s="93"/>
      <c r="K79" s="97"/>
      <c r="L79" s="74"/>
      <c r="M79" s="74"/>
      <c r="N79" s="74"/>
      <c r="O79" s="74"/>
      <c r="P79" s="26"/>
      <c r="Q79" s="71"/>
    </row>
    <row r="80" spans="1:17" ht="15" customHeight="1">
      <c r="A80" s="168" t="str">
        <f>Hulpblad!B51</f>
        <v>Niet van toepassing</v>
      </c>
      <c r="D80" s="32"/>
      <c r="E80" s="32"/>
      <c r="F80" s="32"/>
      <c r="G80" s="170"/>
      <c r="H80" s="32"/>
      <c r="I80" s="83">
        <f>Hulpblad!M51</f>
        <v>0</v>
      </c>
      <c r="J80" s="93"/>
      <c r="K80" s="96"/>
      <c r="L80" s="74"/>
      <c r="M80" s="85">
        <f>IF(AND(I80&gt;0,K80&gt;0),MIN(45,45-M68-M74-M86-M92-M98,K80),0)</f>
        <v>0</v>
      </c>
      <c r="N80" s="74"/>
      <c r="O80" s="86">
        <f>I80*M80</f>
        <v>0</v>
      </c>
      <c r="P80" s="26"/>
      <c r="Q80" s="155" t="str">
        <f>IF(OR(Hulpblad!$B$68="Niet van toepassing",AND(Hulpblad!D43="Nee",Hulpblad!D47="Nee")),"",
IF(Hulpblad!D51="Nee","",
IF(Hulpblad!H51="Niet van toepassing","Vul in wanneer de isolerende panelen zijn aangebracht",
IF(AND(Hulpblad!D51="Ja",K80=0),"Vul in de blauwe cel het aantal m² te isoleren oppervlak in",""))))</f>
        <v/>
      </c>
    </row>
    <row r="81" spans="1:17" ht="15" customHeight="1">
      <c r="A81" s="159"/>
      <c r="D81" s="32"/>
      <c r="E81" s="32"/>
      <c r="F81" s="32"/>
      <c r="G81" s="170"/>
      <c r="H81" s="32"/>
      <c r="I81" s="93"/>
      <c r="J81" s="93"/>
      <c r="K81" s="97"/>
      <c r="L81" s="74"/>
      <c r="M81" s="74"/>
      <c r="N81" s="74"/>
      <c r="O81" s="74"/>
      <c r="P81" s="26"/>
      <c r="Q81" s="155"/>
    </row>
    <row r="82" spans="1:17">
      <c r="D82" s="32"/>
      <c r="E82" s="32"/>
      <c r="F82" s="32"/>
      <c r="G82" s="170"/>
      <c r="H82" s="32"/>
      <c r="I82" s="71"/>
      <c r="J82" s="71"/>
      <c r="K82" s="71"/>
      <c r="L82" s="71"/>
      <c r="M82" s="71"/>
      <c r="N82" s="71"/>
      <c r="O82" s="71"/>
      <c r="P82" s="26"/>
      <c r="Q82" s="71"/>
    </row>
    <row r="83" spans="1:17" ht="15" customHeight="1">
      <c r="A83" s="26"/>
      <c r="D83" s="32"/>
      <c r="E83" s="32"/>
      <c r="F83" s="32"/>
      <c r="G83" s="170"/>
      <c r="H83" s="32"/>
      <c r="I83" s="93"/>
      <c r="J83" s="93"/>
      <c r="K83" s="97"/>
      <c r="L83" s="74"/>
      <c r="M83" s="74"/>
      <c r="N83" s="74"/>
      <c r="O83" s="74"/>
      <c r="P83" s="26"/>
      <c r="Q83" s="71"/>
    </row>
    <row r="84" spans="1:17" ht="15" customHeight="1">
      <c r="A84" s="26"/>
      <c r="D84" s="32"/>
      <c r="E84" s="32"/>
      <c r="F84" s="32"/>
      <c r="G84" s="170"/>
      <c r="H84" s="32"/>
      <c r="I84" s="93"/>
      <c r="J84" s="93"/>
      <c r="K84" s="97"/>
      <c r="L84" s="74"/>
      <c r="M84" s="74"/>
      <c r="N84" s="74"/>
      <c r="O84" s="74"/>
      <c r="P84" s="26"/>
      <c r="Q84" s="71"/>
    </row>
    <row r="85" spans="1:17" ht="15" customHeight="1">
      <c r="A85" s="26"/>
      <c r="D85" s="32"/>
      <c r="E85" s="32"/>
      <c r="F85" s="32"/>
      <c r="G85" s="170"/>
      <c r="H85" s="32"/>
      <c r="I85" s="93"/>
      <c r="J85" s="93"/>
      <c r="K85" s="97"/>
      <c r="L85" s="74"/>
      <c r="M85" s="74"/>
      <c r="N85" s="74"/>
      <c r="O85" s="74"/>
      <c r="P85" s="26"/>
      <c r="Q85" s="71"/>
    </row>
    <row r="86" spans="1:17" ht="15" customHeight="1">
      <c r="A86" s="168" t="str">
        <f>Hulpblad!B55</f>
        <v>Niet van toepassing</v>
      </c>
      <c r="D86" s="32"/>
      <c r="E86" s="32"/>
      <c r="F86" s="32"/>
      <c r="G86" s="170"/>
      <c r="H86" s="32"/>
      <c r="I86" s="83">
        <f>Hulpblad!M55</f>
        <v>0</v>
      </c>
      <c r="J86" s="93"/>
      <c r="K86" s="96"/>
      <c r="L86" s="74"/>
      <c r="M86" s="85">
        <f>IF(AND(I86&gt;0,K86&gt;0),MIN(45,45-M74-M98,K86),0)</f>
        <v>0</v>
      </c>
      <c r="N86" s="74"/>
      <c r="O86" s="86">
        <f>I86*M86</f>
        <v>0</v>
      </c>
      <c r="P86" s="26"/>
      <c r="Q86" s="155" t="str">
        <f>IF(OR(Hulpblad!$B$68="Niet van toepassing",AND(Hulpblad!D43="Nee",Hulpblad!D47="Nee")),"",
IF(Hulpblad!D55="Nee","",
IF(Hulpblad!H55="Niet van toepassing","Vul in wanneer de isolerende panelen zijn aangebracht",
IF(AND(Hulpblad!D55="Ja",K86=0),"Vul in de blauwe cel het aantal m² te isoleren oppervlak in",""))))</f>
        <v/>
      </c>
    </row>
    <row r="87" spans="1:17" ht="15" customHeight="1">
      <c r="A87" s="159"/>
      <c r="D87" s="32"/>
      <c r="E87" s="32"/>
      <c r="F87" s="32"/>
      <c r="G87" s="170"/>
      <c r="H87" s="32"/>
      <c r="I87" s="93"/>
      <c r="J87" s="93"/>
      <c r="K87" s="97"/>
      <c r="L87" s="74"/>
      <c r="M87" s="74"/>
      <c r="N87" s="74"/>
      <c r="O87" s="74"/>
      <c r="P87" s="26"/>
      <c r="Q87" s="155"/>
    </row>
    <row r="88" spans="1:17">
      <c r="D88" s="32"/>
      <c r="E88" s="32"/>
      <c r="F88" s="32"/>
      <c r="G88" s="170"/>
      <c r="H88" s="32"/>
      <c r="I88" s="71"/>
      <c r="J88" s="71"/>
      <c r="K88" s="71"/>
      <c r="L88" s="71"/>
      <c r="M88" s="71"/>
      <c r="N88" s="71"/>
      <c r="O88" s="71"/>
      <c r="P88" s="26"/>
      <c r="Q88" s="71"/>
    </row>
    <row r="89" spans="1:17" ht="15" customHeight="1">
      <c r="A89" s="26"/>
      <c r="D89" s="32"/>
      <c r="E89" s="32"/>
      <c r="F89" s="32"/>
      <c r="G89" s="170"/>
      <c r="H89" s="32"/>
      <c r="I89" s="93"/>
      <c r="J89" s="93"/>
      <c r="K89" s="97"/>
      <c r="L89" s="74"/>
      <c r="M89" s="74"/>
      <c r="N89" s="74"/>
      <c r="O89" s="74"/>
      <c r="P89" s="26"/>
      <c r="Q89" s="71"/>
    </row>
    <row r="90" spans="1:17" ht="15" customHeight="1">
      <c r="A90" s="26"/>
      <c r="D90" s="32"/>
      <c r="E90" s="32"/>
      <c r="F90" s="32"/>
      <c r="G90" s="170"/>
      <c r="H90" s="32"/>
      <c r="I90" s="93"/>
      <c r="J90" s="93"/>
      <c r="K90" s="97"/>
      <c r="L90" s="74"/>
      <c r="M90" s="74"/>
      <c r="N90" s="74"/>
      <c r="O90" s="74"/>
      <c r="P90" s="26"/>
      <c r="Q90" s="71"/>
    </row>
    <row r="91" spans="1:17" ht="15" customHeight="1">
      <c r="A91" s="26"/>
      <c r="D91" s="32"/>
      <c r="E91" s="32"/>
      <c r="F91" s="32"/>
      <c r="G91" s="170"/>
      <c r="H91" s="32"/>
      <c r="I91" s="93"/>
      <c r="J91" s="93"/>
      <c r="K91" s="97"/>
      <c r="L91" s="74"/>
      <c r="M91" s="74"/>
      <c r="N91" s="74"/>
      <c r="O91" s="74"/>
      <c r="P91" s="26"/>
      <c r="Q91" s="71"/>
    </row>
    <row r="92" spans="1:17" ht="15" customHeight="1">
      <c r="A92" s="168" t="str">
        <f>Hulpblad!B59</f>
        <v>Niet van toepassing</v>
      </c>
      <c r="D92" s="32"/>
      <c r="E92" s="32"/>
      <c r="F92" s="32"/>
      <c r="G92" s="170"/>
      <c r="H92" s="32"/>
      <c r="I92" s="83">
        <f>Hulpblad!M59</f>
        <v>0</v>
      </c>
      <c r="J92" s="93"/>
      <c r="K92" s="96"/>
      <c r="L92" s="74"/>
      <c r="M92" s="85">
        <f>IF(AND(I92&gt;0,K92&gt;0),MIN(45,45-M68-M74-M86-M98,K92),0)</f>
        <v>0</v>
      </c>
      <c r="N92" s="74"/>
      <c r="O92" s="86">
        <f>I92*M92</f>
        <v>0</v>
      </c>
      <c r="P92" s="26"/>
      <c r="Q92" s="155" t="str">
        <f>IF(OR(Hulpblad!$B$68="Niet van toepassing",AND(Hulpblad!D43="Nee",Hulpblad!D47="Nee")),"",
IF(Hulpblad!D59="Nee","",
IF(Hulpblad!H59="Niet van toepassing","Vul in wanneer de isolerende deuren zijn aangebracht",
IF(AND(Hulpblad!D59="Ja",K92=0),"Vul in de blauwe cel het aantal m² te isoleren oppervlak in",""))))</f>
        <v/>
      </c>
    </row>
    <row r="93" spans="1:17" ht="15" customHeight="1">
      <c r="A93" s="159"/>
      <c r="D93" s="32"/>
      <c r="E93" s="32"/>
      <c r="F93" s="32"/>
      <c r="G93" s="170"/>
      <c r="H93" s="32"/>
      <c r="I93" s="93"/>
      <c r="J93" s="93"/>
      <c r="K93" s="97"/>
      <c r="L93" s="74"/>
      <c r="M93" s="74"/>
      <c r="N93" s="74"/>
      <c r="O93" s="74"/>
      <c r="P93" s="26"/>
      <c r="Q93" s="155"/>
    </row>
    <row r="94" spans="1:17">
      <c r="D94" s="32"/>
      <c r="E94" s="32"/>
      <c r="F94" s="32"/>
      <c r="G94" s="170"/>
      <c r="H94" s="32"/>
      <c r="I94" s="71"/>
      <c r="J94" s="71"/>
      <c r="K94" s="71"/>
      <c r="L94" s="71"/>
      <c r="M94" s="71"/>
      <c r="N94" s="71"/>
      <c r="O94" s="71"/>
      <c r="P94" s="26"/>
      <c r="Q94" s="71"/>
    </row>
    <row r="95" spans="1:17" ht="15" customHeight="1">
      <c r="A95" s="26"/>
      <c r="D95" s="32"/>
      <c r="E95" s="32"/>
      <c r="F95" s="32"/>
      <c r="G95" s="170"/>
      <c r="H95" s="32"/>
      <c r="I95" s="93"/>
      <c r="J95" s="93"/>
      <c r="K95" s="97"/>
      <c r="L95" s="74"/>
      <c r="M95" s="74"/>
      <c r="N95" s="74"/>
      <c r="O95" s="74"/>
      <c r="P95" s="26"/>
      <c r="Q95" s="71"/>
    </row>
    <row r="96" spans="1:17" ht="15" customHeight="1">
      <c r="A96" s="26"/>
      <c r="D96" s="32"/>
      <c r="E96" s="32"/>
      <c r="F96" s="32"/>
      <c r="G96" s="170"/>
      <c r="H96" s="32"/>
      <c r="I96" s="93"/>
      <c r="J96" s="93"/>
      <c r="K96" s="97"/>
      <c r="L96" s="74"/>
      <c r="M96" s="74"/>
      <c r="N96" s="74"/>
      <c r="O96" s="74"/>
      <c r="P96" s="26"/>
      <c r="Q96" s="71"/>
    </row>
    <row r="97" spans="1:17" ht="15" customHeight="1">
      <c r="A97" s="26"/>
      <c r="D97" s="32"/>
      <c r="E97" s="32"/>
      <c r="F97" s="32"/>
      <c r="G97" s="170"/>
      <c r="H97" s="32"/>
      <c r="I97" s="93"/>
      <c r="J97" s="93"/>
      <c r="K97" s="97"/>
      <c r="L97" s="74"/>
      <c r="M97" s="74"/>
      <c r="N97" s="74"/>
      <c r="O97" s="74"/>
      <c r="P97" s="26"/>
      <c r="Q97" s="71"/>
    </row>
    <row r="98" spans="1:17" ht="15" customHeight="1">
      <c r="A98" s="168" t="str">
        <f>Hulpblad!B63</f>
        <v>Niet van toepassing</v>
      </c>
      <c r="D98" s="32"/>
      <c r="E98" s="32"/>
      <c r="F98" s="32"/>
      <c r="G98" s="171"/>
      <c r="H98" s="32"/>
      <c r="I98" s="83">
        <f>Hulpblad!M63</f>
        <v>0</v>
      </c>
      <c r="J98" s="74"/>
      <c r="K98" s="96"/>
      <c r="L98" s="74"/>
      <c r="M98" s="85">
        <f>IF(AND(I98&gt;0,K98&gt;0),MIN(45,45-M74,K98),0)</f>
        <v>0</v>
      </c>
      <c r="N98" s="74"/>
      <c r="O98" s="86">
        <f>I98*M98</f>
        <v>0</v>
      </c>
      <c r="P98" s="26"/>
      <c r="Q98" s="155" t="str">
        <f>IF(OR(Hulpblad!$B$68="Niet van toepassing",AND(Hulpblad!D43="Nee",Hulpblad!D47="Nee")),"",
IF(Hulpblad!D63="Nee","",
IF(Hulpblad!H63="Niet van toepassing","Vul in wanneer de isolerende deuren zijn aangebracht",
IF(AND(Hulpblad!D63="Ja",K98=0),"Vul in de blauwe cel het aantal m² te isoleren oppervlak in",""))))</f>
        <v/>
      </c>
    </row>
    <row r="99" spans="1:17" ht="15" customHeight="1">
      <c r="A99" s="159"/>
      <c r="D99" s="32"/>
      <c r="E99" s="32"/>
      <c r="F99" s="32"/>
      <c r="G99" s="146"/>
      <c r="H99" s="32"/>
      <c r="I99" s="93"/>
      <c r="J99" s="93"/>
      <c r="K99" s="97"/>
      <c r="L99" s="74"/>
      <c r="M99" s="74"/>
      <c r="N99" s="74"/>
      <c r="O99" s="74"/>
      <c r="P99" s="26"/>
      <c r="Q99" s="155"/>
    </row>
    <row r="100" spans="1:17" ht="15" customHeight="1">
      <c r="A100" s="26"/>
      <c r="D100" s="32"/>
      <c r="E100" s="32"/>
      <c r="F100" s="32"/>
      <c r="G100" s="146"/>
      <c r="H100" s="32"/>
      <c r="I100" s="93"/>
      <c r="J100" s="93"/>
      <c r="K100" s="97"/>
      <c r="L100" s="74"/>
      <c r="M100" s="74"/>
      <c r="N100" s="74"/>
      <c r="O100" s="74"/>
      <c r="P100" s="26"/>
      <c r="Q100" s="110"/>
    </row>
    <row r="101" spans="1:17">
      <c r="E101" s="32"/>
      <c r="G101" s="146"/>
      <c r="I101" s="71"/>
      <c r="J101" s="71"/>
      <c r="K101" s="71"/>
      <c r="L101" s="71"/>
      <c r="M101" s="71"/>
      <c r="N101" s="71"/>
      <c r="O101" s="71"/>
      <c r="P101" s="26"/>
      <c r="Q101" s="71"/>
    </row>
    <row r="102" spans="1:17">
      <c r="A102" s="26"/>
      <c r="E102" s="32"/>
      <c r="G102" s="147"/>
      <c r="I102" s="74"/>
      <c r="J102" s="74"/>
      <c r="K102" s="74"/>
      <c r="L102" s="74"/>
      <c r="M102" s="74"/>
      <c r="N102" s="74"/>
      <c r="O102" s="74"/>
      <c r="P102" s="26"/>
      <c r="Q102" s="71"/>
    </row>
    <row r="103" spans="1:17" ht="15.75">
      <c r="A103" s="26"/>
      <c r="H103" s="34"/>
      <c r="I103" s="98" t="s">
        <v>275</v>
      </c>
      <c r="J103" s="99"/>
      <c r="K103" s="85">
        <f>K68+K74+K80+K86+K92+K98</f>
        <v>0</v>
      </c>
      <c r="L103" s="71"/>
      <c r="M103" s="85">
        <f>IF(K103&lt;8,0,M68+M74+M80+M86+M92+M98)</f>
        <v>0</v>
      </c>
      <c r="N103" s="74"/>
      <c r="O103" s="74"/>
      <c r="P103" s="26"/>
      <c r="Q103" s="155" t="str">
        <f>IF(AND(M103&lt;45,M103&gt;8),"",IF(AND(K103&gt;45,M103=45),"Er komt maximaal 45 m²  oppervlak aan glas, panelen en deuren in aanmerking voor subsidie! Het aantal m²  is per maatregel afgetopt van hoog naar laag bedrag per m²!",
IF(AND(M103&lt; 8,Hulpblad!C40="HR++ glas, U ≤ 1,2 W/m2K en/of Triple glas, U ≤ 0,7 W/m2K"),"Er is te weinig subsidiabel oppervlak aan glas, panelen en deuren om in aanmerking te komen voor subsidie!","")))</f>
        <v/>
      </c>
    </row>
    <row r="104" spans="1:17" ht="15" customHeight="1">
      <c r="I104" s="71"/>
      <c r="J104" s="71"/>
      <c r="K104" s="71"/>
      <c r="L104" s="71"/>
      <c r="M104" s="71"/>
      <c r="N104" s="71"/>
      <c r="O104" s="71"/>
      <c r="Q104" s="159"/>
    </row>
    <row r="105" spans="1:17">
      <c r="H105" s="34"/>
      <c r="I105" s="100"/>
      <c r="J105" s="99"/>
      <c r="K105" s="101" t="s">
        <v>308</v>
      </c>
      <c r="L105" s="71"/>
      <c r="M105" s="71"/>
      <c r="N105" s="71"/>
      <c r="O105" s="86">
        <f>IF(K103&lt;8,0,O68+O74+O80+O86+O92+O98)</f>
        <v>0</v>
      </c>
      <c r="Q105" s="110"/>
    </row>
    <row r="106" spans="1:17" ht="23.25">
      <c r="A106" s="103" t="s">
        <v>106</v>
      </c>
      <c r="B106" s="35"/>
      <c r="I106" s="71"/>
      <c r="J106" s="71"/>
      <c r="K106" s="71"/>
      <c r="L106" s="71"/>
      <c r="M106" s="71"/>
      <c r="N106" s="71"/>
      <c r="O106" s="71"/>
      <c r="Q106" s="72"/>
    </row>
    <row r="107" spans="1:17" ht="15" customHeight="1">
      <c r="A107" s="35"/>
      <c r="B107" s="35"/>
      <c r="Q107" s="72"/>
    </row>
    <row r="108" spans="1:17" ht="15" customHeight="1">
      <c r="A108" s="35"/>
      <c r="B108" s="35"/>
      <c r="Q108" s="71"/>
    </row>
    <row r="109" spans="1:17">
      <c r="Q109" s="111"/>
    </row>
    <row r="110" spans="1:17">
      <c r="A110" s="71" t="s">
        <v>45</v>
      </c>
      <c r="C110" s="26"/>
      <c r="G110" s="102" t="s">
        <v>276</v>
      </c>
      <c r="H110" s="25"/>
      <c r="I110" s="25"/>
      <c r="J110" s="25"/>
      <c r="O110" s="27">
        <f>IF(OR(Hulpblad!C100="Geen warmtepomp",Hulpblad!C114="Niet van toepassing"),0,
IF(AND(Hulpblad!C108="Niet van toepassing",OR(Hulpblad!B100=2,Hulpblad!B100=3,Hulpblad!B100=5,Hulpblad!B100=6,Hulpblad!B100=7,Hulpblad!B100=9,Hulpblad!B100=10,Hulpblad!B100=11)),0,
IF(E132="",VLOOKUP(Hulpblad!C116,Hulpblad!C178:F297,4,FALSE))+IF(E132="",IF(C132=0,0,VLOOKUP(Hulpblad!C116,Hulpblad!C178:G297,5,FALSE)*(C132-Hulpblad!C119)),0)))</f>
        <v>0</v>
      </c>
      <c r="Q110" s="109" t="str">
        <f>IF(OR(Hulpblad!C100="Geen Warmtepomp",Hulpblad!C108="Niet van toepassing",Hulpblad!C114="Niet van toepassing"),"",IF(O110=0,VLOOKUP(Hulpblad!C116,Hulpblad!C178:'Hulpblad'!I297,7,FALSE),""))</f>
        <v/>
      </c>
    </row>
    <row r="111" spans="1:17">
      <c r="C111" s="26"/>
      <c r="Q111" s="72"/>
    </row>
    <row r="112" spans="1:17">
      <c r="C112" s="26"/>
      <c r="O112" s="59"/>
      <c r="Q112" s="112"/>
    </row>
    <row r="113" spans="1:17">
      <c r="C113" s="26"/>
      <c r="Q113" s="71"/>
    </row>
    <row r="114" spans="1:17">
      <c r="C114" s="26"/>
      <c r="Q114" s="71"/>
    </row>
    <row r="115" spans="1:17">
      <c r="C115" s="26"/>
      <c r="Q115" s="71"/>
    </row>
    <row r="116" spans="1:17" ht="15" customHeight="1">
      <c r="C116" s="26"/>
      <c r="Q116" s="71"/>
    </row>
    <row r="117" spans="1:17" ht="15" customHeight="1">
      <c r="C117" s="26"/>
      <c r="O117" s="60"/>
      <c r="Q117" s="71"/>
    </row>
    <row r="118" spans="1:17">
      <c r="C118" s="26"/>
      <c r="L118" s="24"/>
      <c r="Q118" s="71"/>
    </row>
    <row r="119" spans="1:17">
      <c r="C119" s="26"/>
      <c r="Q119" s="71"/>
    </row>
    <row r="120" spans="1:17">
      <c r="C120" s="26"/>
      <c r="Q120" s="71"/>
    </row>
    <row r="121" spans="1:17">
      <c r="C121" s="26"/>
      <c r="Q121" s="71"/>
    </row>
    <row r="122" spans="1:17">
      <c r="C122" s="26"/>
      <c r="Q122" s="71"/>
    </row>
    <row r="123" spans="1:17">
      <c r="C123" s="26"/>
    </row>
    <row r="124" spans="1:17">
      <c r="C124" s="26"/>
    </row>
    <row r="125" spans="1:17">
      <c r="A125" s="71" t="str">
        <f>IF(C110="Geen warmtepomp","","Kies energie-efficiency klasse:")</f>
        <v>Kies energie-efficiency klasse:</v>
      </c>
      <c r="C125" s="26"/>
    </row>
    <row r="126" spans="1:17">
      <c r="C126" s="26"/>
    </row>
    <row r="127" spans="1:17">
      <c r="C127" s="26"/>
    </row>
    <row r="128" spans="1:17">
      <c r="C128" s="26"/>
    </row>
    <row r="129" spans="1:17">
      <c r="C129" s="26"/>
    </row>
    <row r="130" spans="1:17">
      <c r="C130" s="26"/>
      <c r="E130" s="24" t="str">
        <f>IF(AND(Hulpblad!B108=1,OR(Hulpblad!B100=1,Hulpblad!B100=4,Hulpblad!B100=8,Hulpblad!B100=12)),"",
IF(AND(Hulpblad!B100&gt;1,Hulpblad!B108=1),"U moet nog een energie-efficiencyklasse invullen!",""))</f>
        <v/>
      </c>
    </row>
    <row r="132" spans="1:17">
      <c r="A132" s="18" t="str">
        <f>IF(VLOOKUP(Hulpblad!C100,Hulpblad!B88:C99,2,FALSE)&gt;0,"Kies vermogen (kW):","")</f>
        <v/>
      </c>
      <c r="C132" s="62"/>
      <c r="E132" s="24" t="str">
        <f>IF(A132="","",IF(OR(C132=0,C132&lt;Hulpblad!C119,C132&gt;Hulpblad!C120),"U moet een geheel aantal kW vermogen tussen "&amp;Hulpblad!C119&amp;" kW - "&amp;Hulpblad!C120&amp;" kW  invullen!",""))</f>
        <v/>
      </c>
      <c r="H132" s="36"/>
      <c r="I132" s="36"/>
      <c r="J132" s="36"/>
      <c r="L132" s="36"/>
      <c r="M132" s="36"/>
      <c r="N132" s="36"/>
    </row>
    <row r="133" spans="1:17" ht="15" customHeight="1">
      <c r="A133" s="26"/>
      <c r="B133" s="25"/>
      <c r="C133" s="26"/>
    </row>
    <row r="134" spans="1:17" ht="23.25">
      <c r="A134" s="103" t="s">
        <v>107</v>
      </c>
      <c r="B134" s="35"/>
      <c r="C134" s="26"/>
    </row>
    <row r="135" spans="1:17" ht="23.25">
      <c r="A135" s="35"/>
      <c r="B135" s="35"/>
      <c r="C135" s="26"/>
    </row>
    <row r="136" spans="1:17" ht="15" customHeight="1">
      <c r="A136" s="35"/>
      <c r="B136" s="35"/>
      <c r="C136" s="26"/>
    </row>
    <row r="137" spans="1:17" ht="15" customHeight="1">
      <c r="A137" s="71" t="s">
        <v>46</v>
      </c>
      <c r="C137" s="26"/>
      <c r="E137" s="36"/>
      <c r="G137" s="102" t="s">
        <v>279</v>
      </c>
      <c r="H137" s="25"/>
      <c r="I137" s="25"/>
      <c r="J137" s="25"/>
      <c r="O137" s="27">
        <f>IF(OR(Hulpblad!C128="Geen zonneboiler",Hulpblad!C134="Niet van toepassing"),0,VLOOKUP(Hulpblad!C136,Hulpblad!C300:D308,2,FALSE))</f>
        <v>0</v>
      </c>
      <c r="Q137" s="151" t="str">
        <f>IF(O137&gt;0,"Dit subsidiebedrag is indicatief, raadpleeg de ISDE-apparatenlijst zonneboilers voor het exacte bedrag.","")</f>
        <v/>
      </c>
    </row>
    <row r="138" spans="1:17" ht="15" customHeight="1">
      <c r="B138" s="25"/>
      <c r="C138" s="26"/>
      <c r="E138" s="36"/>
      <c r="G138" s="71"/>
      <c r="Q138" s="152"/>
    </row>
    <row r="139" spans="1:17" ht="15" customHeight="1">
      <c r="A139" s="35"/>
      <c r="B139" s="35"/>
      <c r="C139" s="26"/>
      <c r="E139" s="36"/>
      <c r="G139" s="112"/>
      <c r="Q139" s="37"/>
    </row>
    <row r="140" spans="1:17" ht="15" customHeight="1">
      <c r="A140" s="35"/>
      <c r="B140" s="35"/>
      <c r="C140" s="26"/>
      <c r="E140" s="36"/>
      <c r="Q140" s="66"/>
    </row>
    <row r="141" spans="1:17" ht="15" customHeight="1">
      <c r="A141" s="35"/>
      <c r="B141" s="35"/>
      <c r="C141" s="26"/>
      <c r="Q141" s="66"/>
    </row>
    <row r="142" spans="1:17" ht="15" customHeight="1">
      <c r="A142" s="35"/>
      <c r="B142" s="35"/>
      <c r="C142" s="26"/>
      <c r="Q142" s="66"/>
    </row>
    <row r="143" spans="1:17" ht="15" customHeight="1"/>
    <row r="144" spans="1:17" ht="15" customHeight="1"/>
    <row r="145" spans="1:17" ht="15" customHeight="1"/>
    <row r="146" spans="1:17" ht="23.25">
      <c r="A146" s="103" t="s">
        <v>105</v>
      </c>
      <c r="B146" s="35"/>
    </row>
    <row r="147" spans="1:17" ht="23.25">
      <c r="A147" s="35"/>
      <c r="B147" s="35"/>
    </row>
    <row r="148" spans="1:17" ht="15" customHeight="1"/>
    <row r="149" spans="1:17">
      <c r="A149" s="150" t="s">
        <v>115</v>
      </c>
      <c r="B149" s="66"/>
      <c r="C149" s="26"/>
      <c r="D149" s="38"/>
      <c r="E149" s="38"/>
      <c r="G149" s="102" t="s">
        <v>278</v>
      </c>
      <c r="H149" s="25"/>
      <c r="I149" s="25"/>
      <c r="J149" s="25"/>
      <c r="O149" s="27">
        <f>IF(OR(Hulpblad!C141="Geen aansluiting op een warmtenet",Hulpblad!C146="Niet van toepassing"),0,VLOOKUP(Hulpblad!C148,Hulpblad!C311:D313,2,FALSE))</f>
        <v>0</v>
      </c>
      <c r="Q149" s="149" t="str">
        <f>IF(O149&gt;0,"Dit subsidiebedrag is inclusief een bijdrage voor een elektrische kookvoorziening.","")</f>
        <v/>
      </c>
    </row>
    <row r="150" spans="1:17">
      <c r="A150" s="150"/>
      <c r="B150" s="66"/>
      <c r="C150" s="26"/>
      <c r="D150" s="38"/>
      <c r="E150" s="38"/>
      <c r="O150" s="26"/>
      <c r="Q150" s="150"/>
    </row>
    <row r="151" spans="1:17">
      <c r="A151" s="64"/>
      <c r="B151" s="66"/>
      <c r="C151" s="26"/>
      <c r="D151" s="38"/>
      <c r="E151" s="38"/>
      <c r="O151" s="26"/>
      <c r="Q151" s="64"/>
    </row>
    <row r="152" spans="1:17">
      <c r="A152" s="64"/>
      <c r="B152" s="66"/>
      <c r="C152" s="26"/>
      <c r="D152" s="38"/>
      <c r="E152" s="38"/>
      <c r="O152" s="26"/>
      <c r="Q152" s="64"/>
    </row>
    <row r="153" spans="1:17" ht="15" customHeight="1">
      <c r="A153" s="66"/>
      <c r="B153" s="66"/>
      <c r="C153" s="26"/>
      <c r="D153" s="38"/>
      <c r="E153" s="38"/>
      <c r="O153" s="26"/>
    </row>
    <row r="154" spans="1:17" ht="30.75" customHeight="1">
      <c r="A154" s="103" t="s">
        <v>116</v>
      </c>
      <c r="B154" s="66"/>
      <c r="C154" s="26"/>
      <c r="D154" s="18" t="s">
        <v>111</v>
      </c>
      <c r="E154" s="66"/>
      <c r="O154" s="26"/>
    </row>
    <row r="155" spans="1:17" ht="30.75" customHeight="1">
      <c r="A155" s="35"/>
      <c r="B155" s="66"/>
      <c r="C155" s="26"/>
      <c r="E155" s="66"/>
      <c r="O155" s="26"/>
    </row>
    <row r="156" spans="1:17" ht="60" customHeight="1">
      <c r="A156" s="104" t="str">
        <f>IF(O149&gt;0,"U komt niet in aanmerking voor een aparte subsidie voor de elektrische kookvoorziening, omdat deze al bij de aansluiting op een warmtenet is inbegrepen.","Wilt u een elektrische kookvoorziening aanschaffen?")</f>
        <v>Wilt u een elektrische kookvoorziening aanschaffen?</v>
      </c>
      <c r="B156" s="66"/>
      <c r="C156" s="26"/>
      <c r="E156" s="41"/>
      <c r="O156" s="26"/>
    </row>
    <row r="157" spans="1:17" ht="15" customHeight="1">
      <c r="A157" s="105"/>
      <c r="B157" s="66"/>
      <c r="C157" s="26"/>
      <c r="O157" s="26"/>
    </row>
    <row r="158" spans="1:17" ht="30" customHeight="1">
      <c r="A158" s="104" t="str">
        <f>IF(AND(Hulpblad!C154="Ja",A156="Wilt u een elektrische kookvoorziening aanschaffen?"),"Is uw woning aangesloten op een warmtenet?","Niet van toepassing!")</f>
        <v>Niet van toepassing!</v>
      </c>
      <c r="B158" s="66"/>
      <c r="C158" s="26"/>
      <c r="E158" s="113" t="str">
        <f>IF(O149&gt;0,"",IF(Hulpblad!F154="Nee","U komt niet in aanmerking voor subsidie voor een elektrische kookvoorziening als uw woning niet op een warmtenet is aangesloten.",""))</f>
        <v/>
      </c>
      <c r="F158" s="37"/>
      <c r="G158" s="37"/>
      <c r="H158" s="37"/>
      <c r="I158" s="37"/>
      <c r="J158" s="37"/>
      <c r="K158" s="37"/>
      <c r="O158" s="26"/>
    </row>
    <row r="159" spans="1:17" ht="15" customHeight="1">
      <c r="A159" s="105"/>
      <c r="B159" s="66"/>
      <c r="C159" s="26"/>
      <c r="O159" s="26"/>
    </row>
    <row r="160" spans="1:17" ht="15" customHeight="1">
      <c r="A160" s="105"/>
      <c r="B160" s="66"/>
      <c r="C160" s="26"/>
      <c r="O160" s="26"/>
    </row>
    <row r="161" spans="1:15" ht="15" customHeight="1">
      <c r="A161" s="105"/>
      <c r="B161" s="66"/>
      <c r="C161" s="26"/>
      <c r="O161" s="26"/>
    </row>
    <row r="162" spans="1:15" ht="30" customHeight="1">
      <c r="A162" s="104" t="str">
        <f>IF(AND(Hulpblad!F154="Ja",A158="Is uw woning aangesloten op een warmtenet?"),"Heeft u voor de aansluiting op een warmtenet al  eerder subsidie ontvangen van de Rijksoverheid?","Niet van toepassing!")</f>
        <v>Niet van toepassing!</v>
      </c>
      <c r="B162" s="66"/>
      <c r="C162" s="26"/>
      <c r="E162" s="162" t="str">
        <f>IF(O149&gt;0,"",IF(Hulpblad!I154="Ja","U komt niet in aanmerking vooor subsidie voor een elektrische kookvoorziening, omdat u van de Rijksoverheid al subsidie voor het warmtenet heeft ontvangen.",""))</f>
        <v/>
      </c>
      <c r="F162" s="163"/>
      <c r="G162" s="163"/>
      <c r="H162" s="163"/>
      <c r="I162" s="163"/>
      <c r="J162" s="163"/>
      <c r="K162" s="163"/>
      <c r="O162" s="26"/>
    </row>
    <row r="163" spans="1:15" ht="14.1" customHeight="1">
      <c r="A163" s="105"/>
      <c r="B163" s="39"/>
      <c r="C163" s="26"/>
      <c r="D163" s="38"/>
      <c r="L163" s="38"/>
      <c r="M163" s="38"/>
      <c r="O163" s="26"/>
    </row>
    <row r="164" spans="1:15">
      <c r="A164" s="106"/>
      <c r="B164" s="39"/>
      <c r="D164" s="38"/>
      <c r="L164" s="38"/>
      <c r="M164" s="38"/>
      <c r="O164" s="26"/>
    </row>
    <row r="165" spans="1:15">
      <c r="A165" s="106"/>
      <c r="B165" s="39"/>
      <c r="D165" s="38"/>
      <c r="L165" s="38"/>
      <c r="M165" s="38"/>
      <c r="O165" s="26"/>
    </row>
    <row r="166" spans="1:15" ht="30" customHeight="1">
      <c r="A166" s="149" t="str">
        <f>IF(O149&gt;0,"Niet van toepassing!",IF(Hulpblad!I154="Nee","Is zowel uw woning afgesloten van het aardgasnet als de elektrische kookvoorziening aangeschaft niet langer dan 24 maanden geleden?","Niet van toepassing!"))</f>
        <v>Niet van toepassing!</v>
      </c>
      <c r="B166" s="70"/>
      <c r="E166" s="114" t="str">
        <f>IF(O149&gt;0,"",IF(Hulpblad!L154="Nee","U komt niet in aanmerking vooor subsidie voor een elektrische kookvoorziening. ",""))</f>
        <v/>
      </c>
      <c r="O166" s="26"/>
    </row>
    <row r="167" spans="1:15" ht="15" customHeight="1">
      <c r="A167" s="159"/>
      <c r="B167" s="70"/>
      <c r="E167" s="40"/>
      <c r="O167" s="26"/>
    </row>
    <row r="168" spans="1:15">
      <c r="A168" s="159"/>
      <c r="B168" s="65"/>
      <c r="C168" s="26"/>
      <c r="G168" s="25" t="s">
        <v>64</v>
      </c>
      <c r="H168" s="25"/>
      <c r="I168" s="25"/>
      <c r="J168" s="25"/>
      <c r="O168" s="27">
        <f>IF(O149&gt;0,0,IF(Hulpblad!L154="Ja",VLOOKUP(Hulpblad!C317,Hulpblad!C316:D317,2,FALSE),0))</f>
        <v>0</v>
      </c>
    </row>
    <row r="169" spans="1:15">
      <c r="A169" s="159"/>
      <c r="B169" s="66"/>
      <c r="C169" s="26"/>
    </row>
    <row r="170" spans="1:15">
      <c r="A170" s="41"/>
      <c r="B170" s="41"/>
    </row>
    <row r="171" spans="1:15">
      <c r="A171" s="25"/>
      <c r="B171" s="25"/>
      <c r="O171" s="26"/>
    </row>
    <row r="172" spans="1:15" ht="18.75">
      <c r="B172" s="42"/>
      <c r="G172" s="108" t="s">
        <v>277</v>
      </c>
      <c r="H172" s="42"/>
      <c r="I172" s="42"/>
      <c r="J172" s="42"/>
      <c r="O172" s="107">
        <f>O28+O34+O40+O46+O54+O56+O58+O60+O105+O110+O137+O149+O168</f>
        <v>0</v>
      </c>
    </row>
    <row r="173" spans="1:15">
      <c r="O173" s="38"/>
    </row>
    <row r="174" spans="1:15">
      <c r="A174" s="166"/>
      <c r="B174" s="166"/>
      <c r="C174" s="167"/>
    </row>
  </sheetData>
  <sheetProtection algorithmName="SHA-512" hashValue="c3BqXtCfSuEEk/V/kjowCtPjgZQXDJmfXck82XDTInp8s9kOUvQZzqa7OfYBJhFNad7UJdoUbYHy0LBUBV2YIw==" saltValue="wkZZH7rCabxZ38ggRM674g==" spinCount="100000" sheet="1" objects="1" scenarios="1"/>
  <mergeCells count="22">
    <mergeCell ref="E162:K162"/>
    <mergeCell ref="A5:O5"/>
    <mergeCell ref="A174:C174"/>
    <mergeCell ref="A149:A150"/>
    <mergeCell ref="A80:A81"/>
    <mergeCell ref="A86:A87"/>
    <mergeCell ref="A92:A93"/>
    <mergeCell ref="A98:A99"/>
    <mergeCell ref="A166:A169"/>
    <mergeCell ref="G68:G98"/>
    <mergeCell ref="Q149:Q150"/>
    <mergeCell ref="Q137:Q138"/>
    <mergeCell ref="A8:C8"/>
    <mergeCell ref="Q68:Q71"/>
    <mergeCell ref="Q74:Q75"/>
    <mergeCell ref="Q80:Q81"/>
    <mergeCell ref="Q86:Q87"/>
    <mergeCell ref="Q92:Q93"/>
    <mergeCell ref="Q98:Q99"/>
    <mergeCell ref="A14:E14"/>
    <mergeCell ref="Q103:Q104"/>
    <mergeCell ref="I51:I52"/>
  </mergeCells>
  <conditionalFormatting sqref="C132">
    <cfRule type="expression" dxfId="1" priority="1">
      <formula>$A$132=""</formula>
    </cfRule>
    <cfRule type="expression" dxfId="0" priority="2">
      <formula>$A$132=""</formula>
    </cfRule>
  </conditionalFormatting>
  <hyperlinks>
    <hyperlink ref="A9" r:id="rId1" xr:uid="{47158AD8-F4BE-4684-9E7F-A872EB46414A}"/>
    <hyperlink ref="A10" r:id="rId2" xr:uid="{FBF1111B-5C35-4A3D-AA40-12A6A0720D7E}"/>
    <hyperlink ref="A8" r:id="rId3" xr:uid="{8BDAA56C-B297-4D20-9CA0-573A492E3437}"/>
    <hyperlink ref="A11" r:id="rId4" xr:uid="{3316CA3D-B4B2-408E-9A54-58B00C0F7BBE}"/>
  </hyperlinks>
  <pageMargins left="0.7" right="0.7" top="0.75" bottom="0.75" header="0.3" footer="0.3"/>
  <pageSetup paperSize="9" scale="37" fitToHeight="0" orientation="landscape" r:id="rId5"/>
  <ignoredErrors>
    <ignoredError sqref="Q149" evalError="1"/>
  </ignoredErrors>
  <drawing r:id="rId6"/>
  <legacyDrawing r:id="rId7"/>
  <mc:AlternateContent xmlns:mc="http://schemas.openxmlformats.org/markup-compatibility/2006">
    <mc:Choice Requires="x14">
      <controls>
        <mc:AlternateContent xmlns:mc="http://schemas.openxmlformats.org/markup-compatibility/2006">
          <mc:Choice Requires="x14">
            <control shapeId="1133" r:id="rId8" name="Option Button 109">
              <controlPr defaultSize="0" autoFill="0" autoLine="0" autoPict="0">
                <anchor moveWithCells="1">
                  <from>
                    <xdr:col>2</xdr:col>
                    <xdr:colOff>19050</xdr:colOff>
                    <xdr:row>28</xdr:row>
                    <xdr:rowOff>0</xdr:rowOff>
                  </from>
                  <to>
                    <xdr:col>2</xdr:col>
                    <xdr:colOff>2266950</xdr:colOff>
                    <xdr:row>28</xdr:row>
                    <xdr:rowOff>180975</xdr:rowOff>
                  </to>
                </anchor>
              </controlPr>
            </control>
          </mc:Choice>
        </mc:AlternateContent>
        <mc:AlternateContent xmlns:mc="http://schemas.openxmlformats.org/markup-compatibility/2006">
          <mc:Choice Requires="x14">
            <control shapeId="1136" r:id="rId9" name="Group Box 112">
              <controlPr defaultSize="0" autoFill="0" autoPict="0" altText="Dakisolatie">
                <anchor moveWithCells="1">
                  <from>
                    <xdr:col>2</xdr:col>
                    <xdr:colOff>0</xdr:colOff>
                    <xdr:row>27</xdr:row>
                    <xdr:rowOff>0</xdr:rowOff>
                  </from>
                  <to>
                    <xdr:col>2</xdr:col>
                    <xdr:colOff>2695575</xdr:colOff>
                    <xdr:row>31</xdr:row>
                    <xdr:rowOff>57150</xdr:rowOff>
                  </to>
                </anchor>
              </controlPr>
            </control>
          </mc:Choice>
        </mc:AlternateContent>
        <mc:AlternateContent xmlns:mc="http://schemas.openxmlformats.org/markup-compatibility/2006">
          <mc:Choice Requires="x14">
            <control shapeId="1141" r:id="rId10" name="Group Box 117">
              <controlPr defaultSize="0" autoFill="0" autoPict="0" altText="Dakisolatie">
                <anchor moveWithCells="1">
                  <from>
                    <xdr:col>2</xdr:col>
                    <xdr:colOff>0</xdr:colOff>
                    <xdr:row>16</xdr:row>
                    <xdr:rowOff>285750</xdr:rowOff>
                  </from>
                  <to>
                    <xdr:col>2</xdr:col>
                    <xdr:colOff>2695575</xdr:colOff>
                    <xdr:row>21</xdr:row>
                    <xdr:rowOff>47625</xdr:rowOff>
                  </to>
                </anchor>
              </controlPr>
            </control>
          </mc:Choice>
        </mc:AlternateContent>
        <mc:AlternateContent xmlns:mc="http://schemas.openxmlformats.org/markup-compatibility/2006">
          <mc:Choice Requires="x14">
            <control shapeId="1142" r:id="rId11" name="Option Button 118">
              <controlPr defaultSize="0" autoFill="0" autoLine="0" autoPict="0">
                <anchor moveWithCells="1">
                  <from>
                    <xdr:col>2</xdr:col>
                    <xdr:colOff>0</xdr:colOff>
                    <xdr:row>18</xdr:row>
                    <xdr:rowOff>9525</xdr:rowOff>
                  </from>
                  <to>
                    <xdr:col>2</xdr:col>
                    <xdr:colOff>2352675</xdr:colOff>
                    <xdr:row>18</xdr:row>
                    <xdr:rowOff>190500</xdr:rowOff>
                  </to>
                </anchor>
              </controlPr>
            </control>
          </mc:Choice>
        </mc:AlternateContent>
        <mc:AlternateContent xmlns:mc="http://schemas.openxmlformats.org/markup-compatibility/2006">
          <mc:Choice Requires="x14">
            <control shapeId="1145" r:id="rId12" name="Option Button 121">
              <controlPr defaultSize="0" autoFill="0" autoLine="0" autoPict="0">
                <anchor moveWithCells="1">
                  <from>
                    <xdr:col>4</xdr:col>
                    <xdr:colOff>28575</xdr:colOff>
                    <xdr:row>27</xdr:row>
                    <xdr:rowOff>171450</xdr:rowOff>
                  </from>
                  <to>
                    <xdr:col>4</xdr:col>
                    <xdr:colOff>2495550</xdr:colOff>
                    <xdr:row>29</xdr:row>
                    <xdr:rowOff>0</xdr:rowOff>
                  </to>
                </anchor>
              </controlPr>
            </control>
          </mc:Choice>
        </mc:AlternateContent>
        <mc:AlternateContent xmlns:mc="http://schemas.openxmlformats.org/markup-compatibility/2006">
          <mc:Choice Requires="x14">
            <control shapeId="1152" r:id="rId13" name="Option Button 128">
              <controlPr defaultSize="0" autoFill="0" autoLine="0" autoPict="0">
                <anchor moveWithCells="1">
                  <from>
                    <xdr:col>2</xdr:col>
                    <xdr:colOff>19050</xdr:colOff>
                    <xdr:row>34</xdr:row>
                    <xdr:rowOff>9525</xdr:rowOff>
                  </from>
                  <to>
                    <xdr:col>2</xdr:col>
                    <xdr:colOff>2324100</xdr:colOff>
                    <xdr:row>35</xdr:row>
                    <xdr:rowOff>0</xdr:rowOff>
                  </to>
                </anchor>
              </controlPr>
            </control>
          </mc:Choice>
        </mc:AlternateContent>
        <mc:AlternateContent xmlns:mc="http://schemas.openxmlformats.org/markup-compatibility/2006">
          <mc:Choice Requires="x14">
            <control shapeId="1157" r:id="rId14" name="Group Box 133">
              <controlPr defaultSize="0" autoFill="0" autoPict="0">
                <anchor moveWithCells="1">
                  <from>
                    <xdr:col>2</xdr:col>
                    <xdr:colOff>0</xdr:colOff>
                    <xdr:row>33</xdr:row>
                    <xdr:rowOff>0</xdr:rowOff>
                  </from>
                  <to>
                    <xdr:col>2</xdr:col>
                    <xdr:colOff>2695575</xdr:colOff>
                    <xdr:row>36</xdr:row>
                    <xdr:rowOff>85725</xdr:rowOff>
                  </to>
                </anchor>
              </controlPr>
            </control>
          </mc:Choice>
        </mc:AlternateContent>
        <mc:AlternateContent xmlns:mc="http://schemas.openxmlformats.org/markup-compatibility/2006">
          <mc:Choice Requires="x14">
            <control shapeId="1180" r:id="rId15" name="Option Button 156">
              <controlPr defaultSize="0" autoFill="0" autoLine="0" autoPict="0">
                <anchor moveWithCells="1">
                  <from>
                    <xdr:col>4</xdr:col>
                    <xdr:colOff>38100</xdr:colOff>
                    <xdr:row>33</xdr:row>
                    <xdr:rowOff>171450</xdr:rowOff>
                  </from>
                  <to>
                    <xdr:col>4</xdr:col>
                    <xdr:colOff>2390775</xdr:colOff>
                    <xdr:row>35</xdr:row>
                    <xdr:rowOff>9525</xdr:rowOff>
                  </to>
                </anchor>
              </controlPr>
            </control>
          </mc:Choice>
        </mc:AlternateContent>
        <mc:AlternateContent xmlns:mc="http://schemas.openxmlformats.org/markup-compatibility/2006">
          <mc:Choice Requires="x14">
            <control shapeId="1186" r:id="rId16" name="Group Box 162">
              <controlPr defaultSize="0" autoFill="0" autoPict="0">
                <anchor moveWithCells="1">
                  <from>
                    <xdr:col>4</xdr:col>
                    <xdr:colOff>9525</xdr:colOff>
                    <xdr:row>27</xdr:row>
                    <xdr:rowOff>0</xdr:rowOff>
                  </from>
                  <to>
                    <xdr:col>4</xdr:col>
                    <xdr:colOff>2705100</xdr:colOff>
                    <xdr:row>31</xdr:row>
                    <xdr:rowOff>57150</xdr:rowOff>
                  </to>
                </anchor>
              </controlPr>
            </control>
          </mc:Choice>
        </mc:AlternateContent>
        <mc:AlternateContent xmlns:mc="http://schemas.openxmlformats.org/markup-compatibility/2006">
          <mc:Choice Requires="x14">
            <control shapeId="1187" r:id="rId17" name="Group Box 163">
              <controlPr defaultSize="0" autoFill="0" autoPict="0">
                <anchor moveWithCells="1">
                  <from>
                    <xdr:col>4</xdr:col>
                    <xdr:colOff>0</xdr:colOff>
                    <xdr:row>33</xdr:row>
                    <xdr:rowOff>0</xdr:rowOff>
                  </from>
                  <to>
                    <xdr:col>4</xdr:col>
                    <xdr:colOff>2695575</xdr:colOff>
                    <xdr:row>37</xdr:row>
                    <xdr:rowOff>57150</xdr:rowOff>
                  </to>
                </anchor>
              </controlPr>
            </control>
          </mc:Choice>
        </mc:AlternateContent>
        <mc:AlternateContent xmlns:mc="http://schemas.openxmlformats.org/markup-compatibility/2006">
          <mc:Choice Requires="x14">
            <control shapeId="1188" r:id="rId18" name="Option Button 164">
              <controlPr defaultSize="0" autoFill="0" autoLine="0" autoPict="0">
                <anchor moveWithCells="1">
                  <from>
                    <xdr:col>2</xdr:col>
                    <xdr:colOff>19050</xdr:colOff>
                    <xdr:row>39</xdr:row>
                    <xdr:rowOff>180975</xdr:rowOff>
                  </from>
                  <to>
                    <xdr:col>2</xdr:col>
                    <xdr:colOff>2428875</xdr:colOff>
                    <xdr:row>41</xdr:row>
                    <xdr:rowOff>19050</xdr:rowOff>
                  </to>
                </anchor>
              </controlPr>
            </control>
          </mc:Choice>
        </mc:AlternateContent>
        <mc:AlternateContent xmlns:mc="http://schemas.openxmlformats.org/markup-compatibility/2006">
          <mc:Choice Requires="x14">
            <control shapeId="1190" r:id="rId19" name="Group Box 166">
              <controlPr defaultSize="0" autoFill="0" autoPict="0">
                <anchor moveWithCells="1">
                  <from>
                    <xdr:col>2</xdr:col>
                    <xdr:colOff>0</xdr:colOff>
                    <xdr:row>39</xdr:row>
                    <xdr:rowOff>0</xdr:rowOff>
                  </from>
                  <to>
                    <xdr:col>2</xdr:col>
                    <xdr:colOff>2695575</xdr:colOff>
                    <xdr:row>42</xdr:row>
                    <xdr:rowOff>104775</xdr:rowOff>
                  </to>
                </anchor>
              </controlPr>
            </control>
          </mc:Choice>
        </mc:AlternateContent>
        <mc:AlternateContent xmlns:mc="http://schemas.openxmlformats.org/markup-compatibility/2006">
          <mc:Choice Requires="x14">
            <control shapeId="1191" r:id="rId20" name="Option Button 167">
              <controlPr defaultSize="0" autoFill="0" autoLine="0" autoPict="0">
                <anchor moveWithCells="1">
                  <from>
                    <xdr:col>4</xdr:col>
                    <xdr:colOff>47625</xdr:colOff>
                    <xdr:row>39</xdr:row>
                    <xdr:rowOff>180975</xdr:rowOff>
                  </from>
                  <to>
                    <xdr:col>4</xdr:col>
                    <xdr:colOff>2505075</xdr:colOff>
                    <xdr:row>41</xdr:row>
                    <xdr:rowOff>9525</xdr:rowOff>
                  </to>
                </anchor>
              </controlPr>
            </control>
          </mc:Choice>
        </mc:AlternateContent>
        <mc:AlternateContent xmlns:mc="http://schemas.openxmlformats.org/markup-compatibility/2006">
          <mc:Choice Requires="x14">
            <control shapeId="1195" r:id="rId21" name="Group Box 171">
              <controlPr defaultSize="0" autoFill="0" autoPict="0">
                <anchor moveWithCells="1">
                  <from>
                    <xdr:col>4</xdr:col>
                    <xdr:colOff>0</xdr:colOff>
                    <xdr:row>39</xdr:row>
                    <xdr:rowOff>0</xdr:rowOff>
                  </from>
                  <to>
                    <xdr:col>4</xdr:col>
                    <xdr:colOff>2695575</xdr:colOff>
                    <xdr:row>43</xdr:row>
                    <xdr:rowOff>57150</xdr:rowOff>
                  </to>
                </anchor>
              </controlPr>
            </control>
          </mc:Choice>
        </mc:AlternateContent>
        <mc:AlternateContent xmlns:mc="http://schemas.openxmlformats.org/markup-compatibility/2006">
          <mc:Choice Requires="x14">
            <control shapeId="1197" r:id="rId22" name="Option Button 173">
              <controlPr defaultSize="0" autoFill="0" autoLine="0" autoPict="0">
                <anchor moveWithCells="1">
                  <from>
                    <xdr:col>2</xdr:col>
                    <xdr:colOff>19050</xdr:colOff>
                    <xdr:row>45</xdr:row>
                    <xdr:rowOff>180975</xdr:rowOff>
                  </from>
                  <to>
                    <xdr:col>2</xdr:col>
                    <xdr:colOff>2295525</xdr:colOff>
                    <xdr:row>47</xdr:row>
                    <xdr:rowOff>9525</xdr:rowOff>
                  </to>
                </anchor>
              </controlPr>
            </control>
          </mc:Choice>
        </mc:AlternateContent>
        <mc:AlternateContent xmlns:mc="http://schemas.openxmlformats.org/markup-compatibility/2006">
          <mc:Choice Requires="x14">
            <control shapeId="1200" r:id="rId23" name="Group Box 176">
              <controlPr defaultSize="0" autoFill="0" autoPict="0">
                <anchor moveWithCells="1">
                  <from>
                    <xdr:col>2</xdr:col>
                    <xdr:colOff>0</xdr:colOff>
                    <xdr:row>45</xdr:row>
                    <xdr:rowOff>0</xdr:rowOff>
                  </from>
                  <to>
                    <xdr:col>2</xdr:col>
                    <xdr:colOff>2695575</xdr:colOff>
                    <xdr:row>49</xdr:row>
                    <xdr:rowOff>57150</xdr:rowOff>
                  </to>
                </anchor>
              </controlPr>
            </control>
          </mc:Choice>
        </mc:AlternateContent>
        <mc:AlternateContent xmlns:mc="http://schemas.openxmlformats.org/markup-compatibility/2006">
          <mc:Choice Requires="x14">
            <control shapeId="1201" r:id="rId24" name="Option Button 177">
              <controlPr defaultSize="0" autoFill="0" autoLine="0" autoPict="0">
                <anchor moveWithCells="1">
                  <from>
                    <xdr:col>4</xdr:col>
                    <xdr:colOff>66675</xdr:colOff>
                    <xdr:row>45</xdr:row>
                    <xdr:rowOff>171450</xdr:rowOff>
                  </from>
                  <to>
                    <xdr:col>4</xdr:col>
                    <xdr:colOff>2409825</xdr:colOff>
                    <xdr:row>47</xdr:row>
                    <xdr:rowOff>9525</xdr:rowOff>
                  </to>
                </anchor>
              </controlPr>
            </control>
          </mc:Choice>
        </mc:AlternateContent>
        <mc:AlternateContent xmlns:mc="http://schemas.openxmlformats.org/markup-compatibility/2006">
          <mc:Choice Requires="x14">
            <control shapeId="1205" r:id="rId25" name="Group Box 181">
              <controlPr defaultSize="0" autoFill="0" autoPict="0">
                <anchor moveWithCells="1">
                  <from>
                    <xdr:col>4</xdr:col>
                    <xdr:colOff>0</xdr:colOff>
                    <xdr:row>45</xdr:row>
                    <xdr:rowOff>0</xdr:rowOff>
                  </from>
                  <to>
                    <xdr:col>4</xdr:col>
                    <xdr:colOff>2695575</xdr:colOff>
                    <xdr:row>49</xdr:row>
                    <xdr:rowOff>57150</xdr:rowOff>
                  </to>
                </anchor>
              </controlPr>
            </control>
          </mc:Choice>
        </mc:AlternateContent>
        <mc:AlternateContent xmlns:mc="http://schemas.openxmlformats.org/markup-compatibility/2006">
          <mc:Choice Requires="x14">
            <control shapeId="1206" r:id="rId26" name="Option Button 182">
              <controlPr defaultSize="0" autoFill="0" autoLine="0" autoPict="0">
                <anchor moveWithCells="1">
                  <from>
                    <xdr:col>2</xdr:col>
                    <xdr:colOff>66675</xdr:colOff>
                    <xdr:row>109</xdr:row>
                    <xdr:rowOff>171450</xdr:rowOff>
                  </from>
                  <to>
                    <xdr:col>2</xdr:col>
                    <xdr:colOff>2447925</xdr:colOff>
                    <xdr:row>111</xdr:row>
                    <xdr:rowOff>0</xdr:rowOff>
                  </to>
                </anchor>
              </controlPr>
            </control>
          </mc:Choice>
        </mc:AlternateContent>
        <mc:AlternateContent xmlns:mc="http://schemas.openxmlformats.org/markup-compatibility/2006">
          <mc:Choice Requires="x14">
            <control shapeId="1216" r:id="rId27" name="Group Box 192">
              <controlPr defaultSize="0" autoFill="0" autoPict="0">
                <anchor moveWithCells="1">
                  <from>
                    <xdr:col>2</xdr:col>
                    <xdr:colOff>0</xdr:colOff>
                    <xdr:row>109</xdr:row>
                    <xdr:rowOff>0</xdr:rowOff>
                  </from>
                  <to>
                    <xdr:col>2</xdr:col>
                    <xdr:colOff>2695575</xdr:colOff>
                    <xdr:row>122</xdr:row>
                    <xdr:rowOff>66675</xdr:rowOff>
                  </to>
                </anchor>
              </controlPr>
            </control>
          </mc:Choice>
        </mc:AlternateContent>
        <mc:AlternateContent xmlns:mc="http://schemas.openxmlformats.org/markup-compatibility/2006">
          <mc:Choice Requires="x14">
            <control shapeId="1237" r:id="rId28" name="Option Button 213">
              <controlPr defaultSize="0" autoFill="0" autoLine="0" autoPict="0">
                <anchor moveWithCells="1">
                  <from>
                    <xdr:col>2</xdr:col>
                    <xdr:colOff>66675</xdr:colOff>
                    <xdr:row>110</xdr:row>
                    <xdr:rowOff>171450</xdr:rowOff>
                  </from>
                  <to>
                    <xdr:col>2</xdr:col>
                    <xdr:colOff>2371725</xdr:colOff>
                    <xdr:row>112</xdr:row>
                    <xdr:rowOff>0</xdr:rowOff>
                  </to>
                </anchor>
              </controlPr>
            </control>
          </mc:Choice>
        </mc:AlternateContent>
        <mc:AlternateContent xmlns:mc="http://schemas.openxmlformats.org/markup-compatibility/2006">
          <mc:Choice Requires="x14">
            <control shapeId="1238" r:id="rId29" name="Option Button 214">
              <controlPr defaultSize="0" autoFill="0" autoLine="0" autoPict="0">
                <anchor moveWithCells="1">
                  <from>
                    <xdr:col>2</xdr:col>
                    <xdr:colOff>66675</xdr:colOff>
                    <xdr:row>111</xdr:row>
                    <xdr:rowOff>171450</xdr:rowOff>
                  </from>
                  <to>
                    <xdr:col>2</xdr:col>
                    <xdr:colOff>2457450</xdr:colOff>
                    <xdr:row>113</xdr:row>
                    <xdr:rowOff>0</xdr:rowOff>
                  </to>
                </anchor>
              </controlPr>
            </control>
          </mc:Choice>
        </mc:AlternateContent>
        <mc:AlternateContent xmlns:mc="http://schemas.openxmlformats.org/markup-compatibility/2006">
          <mc:Choice Requires="x14">
            <control shapeId="1239" r:id="rId30" name="Option Button 215">
              <controlPr defaultSize="0" autoFill="0" autoLine="0" autoPict="0">
                <anchor moveWithCells="1">
                  <from>
                    <xdr:col>2</xdr:col>
                    <xdr:colOff>66675</xdr:colOff>
                    <xdr:row>112</xdr:row>
                    <xdr:rowOff>171450</xdr:rowOff>
                  </from>
                  <to>
                    <xdr:col>2</xdr:col>
                    <xdr:colOff>2466975</xdr:colOff>
                    <xdr:row>114</xdr:row>
                    <xdr:rowOff>0</xdr:rowOff>
                  </to>
                </anchor>
              </controlPr>
            </control>
          </mc:Choice>
        </mc:AlternateContent>
        <mc:AlternateContent xmlns:mc="http://schemas.openxmlformats.org/markup-compatibility/2006">
          <mc:Choice Requires="x14">
            <control shapeId="1240" r:id="rId31" name="Option Button 216">
              <controlPr defaultSize="0" autoFill="0" autoLine="0" autoPict="0">
                <anchor moveWithCells="1">
                  <from>
                    <xdr:col>2</xdr:col>
                    <xdr:colOff>66675</xdr:colOff>
                    <xdr:row>113</xdr:row>
                    <xdr:rowOff>171450</xdr:rowOff>
                  </from>
                  <to>
                    <xdr:col>2</xdr:col>
                    <xdr:colOff>2390775</xdr:colOff>
                    <xdr:row>115</xdr:row>
                    <xdr:rowOff>0</xdr:rowOff>
                  </to>
                </anchor>
              </controlPr>
            </control>
          </mc:Choice>
        </mc:AlternateContent>
        <mc:AlternateContent xmlns:mc="http://schemas.openxmlformats.org/markup-compatibility/2006">
          <mc:Choice Requires="x14">
            <control shapeId="1241" r:id="rId32" name="Option Button 217">
              <controlPr defaultSize="0" autoFill="0" autoLine="0" autoPict="0">
                <anchor moveWithCells="1">
                  <from>
                    <xdr:col>2</xdr:col>
                    <xdr:colOff>66675</xdr:colOff>
                    <xdr:row>114</xdr:row>
                    <xdr:rowOff>171450</xdr:rowOff>
                  </from>
                  <to>
                    <xdr:col>2</xdr:col>
                    <xdr:colOff>2362200</xdr:colOff>
                    <xdr:row>116</xdr:row>
                    <xdr:rowOff>0</xdr:rowOff>
                  </to>
                </anchor>
              </controlPr>
            </control>
          </mc:Choice>
        </mc:AlternateContent>
        <mc:AlternateContent xmlns:mc="http://schemas.openxmlformats.org/markup-compatibility/2006">
          <mc:Choice Requires="x14">
            <control shapeId="1242" r:id="rId33" name="Option Button 218">
              <controlPr defaultSize="0" autoFill="0" autoLine="0" autoPict="0">
                <anchor moveWithCells="1">
                  <from>
                    <xdr:col>2</xdr:col>
                    <xdr:colOff>66675</xdr:colOff>
                    <xdr:row>115</xdr:row>
                    <xdr:rowOff>171450</xdr:rowOff>
                  </from>
                  <to>
                    <xdr:col>2</xdr:col>
                    <xdr:colOff>2438400</xdr:colOff>
                    <xdr:row>117</xdr:row>
                    <xdr:rowOff>0</xdr:rowOff>
                  </to>
                </anchor>
              </controlPr>
            </control>
          </mc:Choice>
        </mc:AlternateContent>
        <mc:AlternateContent xmlns:mc="http://schemas.openxmlformats.org/markup-compatibility/2006">
          <mc:Choice Requires="x14">
            <control shapeId="1243" r:id="rId34" name="Option Button 219">
              <controlPr defaultSize="0" autoFill="0" autoLine="0" autoPict="0">
                <anchor moveWithCells="1">
                  <from>
                    <xdr:col>2</xdr:col>
                    <xdr:colOff>66675</xdr:colOff>
                    <xdr:row>116</xdr:row>
                    <xdr:rowOff>171450</xdr:rowOff>
                  </from>
                  <to>
                    <xdr:col>2</xdr:col>
                    <xdr:colOff>2400300</xdr:colOff>
                    <xdr:row>118</xdr:row>
                    <xdr:rowOff>0</xdr:rowOff>
                  </to>
                </anchor>
              </controlPr>
            </control>
          </mc:Choice>
        </mc:AlternateContent>
        <mc:AlternateContent xmlns:mc="http://schemas.openxmlformats.org/markup-compatibility/2006">
          <mc:Choice Requires="x14">
            <control shapeId="1244" r:id="rId35" name="Option Button 220">
              <controlPr defaultSize="0" autoFill="0" autoLine="0" autoPict="0">
                <anchor moveWithCells="1">
                  <from>
                    <xdr:col>2</xdr:col>
                    <xdr:colOff>66675</xdr:colOff>
                    <xdr:row>117</xdr:row>
                    <xdr:rowOff>171450</xdr:rowOff>
                  </from>
                  <to>
                    <xdr:col>2</xdr:col>
                    <xdr:colOff>2409825</xdr:colOff>
                    <xdr:row>119</xdr:row>
                    <xdr:rowOff>0</xdr:rowOff>
                  </to>
                </anchor>
              </controlPr>
            </control>
          </mc:Choice>
        </mc:AlternateContent>
        <mc:AlternateContent xmlns:mc="http://schemas.openxmlformats.org/markup-compatibility/2006">
          <mc:Choice Requires="x14">
            <control shapeId="1253" r:id="rId36" name="Option Button 229">
              <controlPr defaultSize="0" autoFill="0" autoLine="0" autoPict="0">
                <anchor moveWithCells="1">
                  <from>
                    <xdr:col>2</xdr:col>
                    <xdr:colOff>66675</xdr:colOff>
                    <xdr:row>118</xdr:row>
                    <xdr:rowOff>171450</xdr:rowOff>
                  </from>
                  <to>
                    <xdr:col>2</xdr:col>
                    <xdr:colOff>2362200</xdr:colOff>
                    <xdr:row>120</xdr:row>
                    <xdr:rowOff>0</xdr:rowOff>
                  </to>
                </anchor>
              </controlPr>
            </control>
          </mc:Choice>
        </mc:AlternateContent>
        <mc:AlternateContent xmlns:mc="http://schemas.openxmlformats.org/markup-compatibility/2006">
          <mc:Choice Requires="x14">
            <control shapeId="1254" r:id="rId37" name="Option Button 230">
              <controlPr defaultSize="0" autoFill="0" autoLine="0" autoPict="0">
                <anchor moveWithCells="1">
                  <from>
                    <xdr:col>2</xdr:col>
                    <xdr:colOff>66675</xdr:colOff>
                    <xdr:row>119</xdr:row>
                    <xdr:rowOff>171450</xdr:rowOff>
                  </from>
                  <to>
                    <xdr:col>2</xdr:col>
                    <xdr:colOff>2419350</xdr:colOff>
                    <xdr:row>121</xdr:row>
                    <xdr:rowOff>0</xdr:rowOff>
                  </to>
                </anchor>
              </controlPr>
            </control>
          </mc:Choice>
        </mc:AlternateContent>
        <mc:AlternateContent xmlns:mc="http://schemas.openxmlformats.org/markup-compatibility/2006">
          <mc:Choice Requires="x14">
            <control shapeId="1259" r:id="rId38" name="Option Button 235">
              <controlPr defaultSize="0" autoFill="0" autoLine="0" autoPict="0">
                <anchor moveWithCells="1">
                  <from>
                    <xdr:col>2</xdr:col>
                    <xdr:colOff>66675</xdr:colOff>
                    <xdr:row>120</xdr:row>
                    <xdr:rowOff>171450</xdr:rowOff>
                  </from>
                  <to>
                    <xdr:col>2</xdr:col>
                    <xdr:colOff>2466975</xdr:colOff>
                    <xdr:row>122</xdr:row>
                    <xdr:rowOff>0</xdr:rowOff>
                  </to>
                </anchor>
              </controlPr>
            </control>
          </mc:Choice>
        </mc:AlternateContent>
        <mc:AlternateContent xmlns:mc="http://schemas.openxmlformats.org/markup-compatibility/2006">
          <mc:Choice Requires="x14">
            <control shapeId="1263" r:id="rId39" name="Option Button 239">
              <controlPr defaultSize="0" autoFill="0" autoLine="0" autoPict="0">
                <anchor moveWithCells="1">
                  <from>
                    <xdr:col>2</xdr:col>
                    <xdr:colOff>85725</xdr:colOff>
                    <xdr:row>124</xdr:row>
                    <xdr:rowOff>180975</xdr:rowOff>
                  </from>
                  <to>
                    <xdr:col>2</xdr:col>
                    <xdr:colOff>2486025</xdr:colOff>
                    <xdr:row>126</xdr:row>
                    <xdr:rowOff>9525</xdr:rowOff>
                  </to>
                </anchor>
              </controlPr>
            </control>
          </mc:Choice>
        </mc:AlternateContent>
        <mc:AlternateContent xmlns:mc="http://schemas.openxmlformats.org/markup-compatibility/2006">
          <mc:Choice Requires="x14">
            <control shapeId="1273" r:id="rId40" name="Option Button 249">
              <controlPr defaultSize="0" autoFill="0" autoLine="0" autoPict="0">
                <anchor moveWithCells="1">
                  <from>
                    <xdr:col>2</xdr:col>
                    <xdr:colOff>85725</xdr:colOff>
                    <xdr:row>125</xdr:row>
                    <xdr:rowOff>180975</xdr:rowOff>
                  </from>
                  <to>
                    <xdr:col>2</xdr:col>
                    <xdr:colOff>2457450</xdr:colOff>
                    <xdr:row>127</xdr:row>
                    <xdr:rowOff>9525</xdr:rowOff>
                  </to>
                </anchor>
              </controlPr>
            </control>
          </mc:Choice>
        </mc:AlternateContent>
        <mc:AlternateContent xmlns:mc="http://schemas.openxmlformats.org/markup-compatibility/2006">
          <mc:Choice Requires="x14">
            <control shapeId="1274" r:id="rId41" name="Option Button 250">
              <controlPr defaultSize="0" autoFill="0" autoLine="0" autoPict="0">
                <anchor moveWithCells="1">
                  <from>
                    <xdr:col>2</xdr:col>
                    <xdr:colOff>85725</xdr:colOff>
                    <xdr:row>126</xdr:row>
                    <xdr:rowOff>180975</xdr:rowOff>
                  </from>
                  <to>
                    <xdr:col>2</xdr:col>
                    <xdr:colOff>2295525</xdr:colOff>
                    <xdr:row>128</xdr:row>
                    <xdr:rowOff>9525</xdr:rowOff>
                  </to>
                </anchor>
              </controlPr>
            </control>
          </mc:Choice>
        </mc:AlternateContent>
        <mc:AlternateContent xmlns:mc="http://schemas.openxmlformats.org/markup-compatibility/2006">
          <mc:Choice Requires="x14">
            <control shapeId="1275" r:id="rId42" name="Option Button 251">
              <controlPr defaultSize="0" autoFill="0" autoLine="0" autoPict="0">
                <anchor moveWithCells="1">
                  <from>
                    <xdr:col>2</xdr:col>
                    <xdr:colOff>85725</xdr:colOff>
                    <xdr:row>127</xdr:row>
                    <xdr:rowOff>180975</xdr:rowOff>
                  </from>
                  <to>
                    <xdr:col>2</xdr:col>
                    <xdr:colOff>2390775</xdr:colOff>
                    <xdr:row>129</xdr:row>
                    <xdr:rowOff>9525</xdr:rowOff>
                  </to>
                </anchor>
              </controlPr>
            </control>
          </mc:Choice>
        </mc:AlternateContent>
        <mc:AlternateContent xmlns:mc="http://schemas.openxmlformats.org/markup-compatibility/2006">
          <mc:Choice Requires="x14">
            <control shapeId="1276" r:id="rId43" name="Option Button 252">
              <controlPr defaultSize="0" autoFill="0" autoLine="0" autoPict="0">
                <anchor moveWithCells="1">
                  <from>
                    <xdr:col>2</xdr:col>
                    <xdr:colOff>85725</xdr:colOff>
                    <xdr:row>128</xdr:row>
                    <xdr:rowOff>180975</xdr:rowOff>
                  </from>
                  <to>
                    <xdr:col>2</xdr:col>
                    <xdr:colOff>2286000</xdr:colOff>
                    <xdr:row>130</xdr:row>
                    <xdr:rowOff>9525</xdr:rowOff>
                  </to>
                </anchor>
              </controlPr>
            </control>
          </mc:Choice>
        </mc:AlternateContent>
        <mc:AlternateContent xmlns:mc="http://schemas.openxmlformats.org/markup-compatibility/2006">
          <mc:Choice Requires="x14">
            <control shapeId="1277" r:id="rId44" name="Group Box 253">
              <controlPr defaultSize="0" autoFill="0" autoPict="0">
                <anchor moveWithCells="1">
                  <from>
                    <xdr:col>2</xdr:col>
                    <xdr:colOff>9525</xdr:colOff>
                    <xdr:row>124</xdr:row>
                    <xdr:rowOff>57150</xdr:rowOff>
                  </from>
                  <to>
                    <xdr:col>2</xdr:col>
                    <xdr:colOff>2705100</xdr:colOff>
                    <xdr:row>130</xdr:row>
                    <xdr:rowOff>66675</xdr:rowOff>
                  </to>
                </anchor>
              </controlPr>
            </control>
          </mc:Choice>
        </mc:AlternateContent>
        <mc:AlternateContent xmlns:mc="http://schemas.openxmlformats.org/markup-compatibility/2006">
          <mc:Choice Requires="x14">
            <control shapeId="1278" r:id="rId45" name="Option Button 254">
              <controlPr defaultSize="0" autoFill="0" autoLine="0" autoPict="0">
                <anchor moveWithCells="1">
                  <from>
                    <xdr:col>2</xdr:col>
                    <xdr:colOff>0</xdr:colOff>
                    <xdr:row>19</xdr:row>
                    <xdr:rowOff>9525</xdr:rowOff>
                  </from>
                  <to>
                    <xdr:col>2</xdr:col>
                    <xdr:colOff>2600325</xdr:colOff>
                    <xdr:row>19</xdr:row>
                    <xdr:rowOff>190500</xdr:rowOff>
                  </to>
                </anchor>
              </controlPr>
            </control>
          </mc:Choice>
        </mc:AlternateContent>
        <mc:AlternateContent xmlns:mc="http://schemas.openxmlformats.org/markup-compatibility/2006">
          <mc:Choice Requires="x14">
            <control shapeId="1279" r:id="rId46" name="Option Button 255">
              <controlPr defaultSize="0" autoFill="0" autoLine="0" autoPict="0">
                <anchor moveWithCells="1">
                  <from>
                    <xdr:col>2</xdr:col>
                    <xdr:colOff>0</xdr:colOff>
                    <xdr:row>20</xdr:row>
                    <xdr:rowOff>9525</xdr:rowOff>
                  </from>
                  <to>
                    <xdr:col>2</xdr:col>
                    <xdr:colOff>2628900</xdr:colOff>
                    <xdr:row>20</xdr:row>
                    <xdr:rowOff>190500</xdr:rowOff>
                  </to>
                </anchor>
              </controlPr>
            </control>
          </mc:Choice>
        </mc:AlternateContent>
        <mc:AlternateContent xmlns:mc="http://schemas.openxmlformats.org/markup-compatibility/2006">
          <mc:Choice Requires="x14">
            <control shapeId="1280" r:id="rId47" name="Option Button 256">
              <controlPr defaultSize="0" autoFill="0" autoLine="0" autoPict="0">
                <anchor moveWithCells="1">
                  <from>
                    <xdr:col>2</xdr:col>
                    <xdr:colOff>19050</xdr:colOff>
                    <xdr:row>29</xdr:row>
                    <xdr:rowOff>0</xdr:rowOff>
                  </from>
                  <to>
                    <xdr:col>2</xdr:col>
                    <xdr:colOff>2362200</xdr:colOff>
                    <xdr:row>29</xdr:row>
                    <xdr:rowOff>180975</xdr:rowOff>
                  </to>
                </anchor>
              </controlPr>
            </control>
          </mc:Choice>
        </mc:AlternateContent>
        <mc:AlternateContent xmlns:mc="http://schemas.openxmlformats.org/markup-compatibility/2006">
          <mc:Choice Requires="x14">
            <control shapeId="1281" r:id="rId48" name="Option Button 257">
              <controlPr defaultSize="0" autoFill="0" autoLine="0" autoPict="0">
                <anchor moveWithCells="1">
                  <from>
                    <xdr:col>2</xdr:col>
                    <xdr:colOff>19050</xdr:colOff>
                    <xdr:row>30</xdr:row>
                    <xdr:rowOff>0</xdr:rowOff>
                  </from>
                  <to>
                    <xdr:col>2</xdr:col>
                    <xdr:colOff>2457450</xdr:colOff>
                    <xdr:row>30</xdr:row>
                    <xdr:rowOff>180975</xdr:rowOff>
                  </to>
                </anchor>
              </controlPr>
            </control>
          </mc:Choice>
        </mc:AlternateContent>
        <mc:AlternateContent xmlns:mc="http://schemas.openxmlformats.org/markup-compatibility/2006">
          <mc:Choice Requires="x14">
            <control shapeId="1282" r:id="rId49" name="Option Button 258">
              <controlPr defaultSize="0" autoFill="0" autoLine="0" autoPict="0">
                <anchor moveWithCells="1">
                  <from>
                    <xdr:col>4</xdr:col>
                    <xdr:colOff>28575</xdr:colOff>
                    <xdr:row>28</xdr:row>
                    <xdr:rowOff>171450</xdr:rowOff>
                  </from>
                  <to>
                    <xdr:col>4</xdr:col>
                    <xdr:colOff>2476500</xdr:colOff>
                    <xdr:row>30</xdr:row>
                    <xdr:rowOff>0</xdr:rowOff>
                  </to>
                </anchor>
              </controlPr>
            </control>
          </mc:Choice>
        </mc:AlternateContent>
        <mc:AlternateContent xmlns:mc="http://schemas.openxmlformats.org/markup-compatibility/2006">
          <mc:Choice Requires="x14">
            <control shapeId="1283" r:id="rId50" name="Option Button 259">
              <controlPr defaultSize="0" autoFill="0" autoLine="0" autoPict="0">
                <anchor moveWithCells="1">
                  <from>
                    <xdr:col>4</xdr:col>
                    <xdr:colOff>28575</xdr:colOff>
                    <xdr:row>29</xdr:row>
                    <xdr:rowOff>171450</xdr:rowOff>
                  </from>
                  <to>
                    <xdr:col>4</xdr:col>
                    <xdr:colOff>2371725</xdr:colOff>
                    <xdr:row>31</xdr:row>
                    <xdr:rowOff>0</xdr:rowOff>
                  </to>
                </anchor>
              </controlPr>
            </control>
          </mc:Choice>
        </mc:AlternateContent>
        <mc:AlternateContent xmlns:mc="http://schemas.openxmlformats.org/markup-compatibility/2006">
          <mc:Choice Requires="x14">
            <control shapeId="1287" r:id="rId51" name="Option Button 263">
              <controlPr defaultSize="0" autoFill="0" autoLine="0" autoPict="0">
                <anchor moveWithCells="1">
                  <from>
                    <xdr:col>2</xdr:col>
                    <xdr:colOff>19050</xdr:colOff>
                    <xdr:row>35</xdr:row>
                    <xdr:rowOff>9525</xdr:rowOff>
                  </from>
                  <to>
                    <xdr:col>2</xdr:col>
                    <xdr:colOff>2552700</xdr:colOff>
                    <xdr:row>36</xdr:row>
                    <xdr:rowOff>0</xdr:rowOff>
                  </to>
                </anchor>
              </controlPr>
            </control>
          </mc:Choice>
        </mc:AlternateContent>
        <mc:AlternateContent xmlns:mc="http://schemas.openxmlformats.org/markup-compatibility/2006">
          <mc:Choice Requires="x14">
            <control shapeId="1288" r:id="rId52" name="Option Button 264">
              <controlPr defaultSize="0" autoFill="0" autoLine="0" autoPict="0">
                <anchor moveWithCells="1">
                  <from>
                    <xdr:col>4</xdr:col>
                    <xdr:colOff>38100</xdr:colOff>
                    <xdr:row>34</xdr:row>
                    <xdr:rowOff>171450</xdr:rowOff>
                  </from>
                  <to>
                    <xdr:col>4</xdr:col>
                    <xdr:colOff>2533650</xdr:colOff>
                    <xdr:row>36</xdr:row>
                    <xdr:rowOff>9525</xdr:rowOff>
                  </to>
                </anchor>
              </controlPr>
            </control>
          </mc:Choice>
        </mc:AlternateContent>
        <mc:AlternateContent xmlns:mc="http://schemas.openxmlformats.org/markup-compatibility/2006">
          <mc:Choice Requires="x14">
            <control shapeId="1289" r:id="rId53" name="Option Button 265">
              <controlPr defaultSize="0" autoFill="0" autoLine="0" autoPict="0">
                <anchor moveWithCells="1">
                  <from>
                    <xdr:col>4</xdr:col>
                    <xdr:colOff>38100</xdr:colOff>
                    <xdr:row>35</xdr:row>
                    <xdr:rowOff>171450</xdr:rowOff>
                  </from>
                  <to>
                    <xdr:col>4</xdr:col>
                    <xdr:colOff>2571750</xdr:colOff>
                    <xdr:row>37</xdr:row>
                    <xdr:rowOff>9525</xdr:rowOff>
                  </to>
                </anchor>
              </controlPr>
            </control>
          </mc:Choice>
        </mc:AlternateContent>
        <mc:AlternateContent xmlns:mc="http://schemas.openxmlformats.org/markup-compatibility/2006">
          <mc:Choice Requires="x14">
            <control shapeId="1292" r:id="rId54" name="Option Button 268">
              <controlPr defaultSize="0" autoFill="0" autoLine="0" autoPict="0">
                <anchor moveWithCells="1">
                  <from>
                    <xdr:col>2</xdr:col>
                    <xdr:colOff>19050</xdr:colOff>
                    <xdr:row>40</xdr:row>
                    <xdr:rowOff>180975</xdr:rowOff>
                  </from>
                  <to>
                    <xdr:col>2</xdr:col>
                    <xdr:colOff>2486025</xdr:colOff>
                    <xdr:row>42</xdr:row>
                    <xdr:rowOff>19050</xdr:rowOff>
                  </to>
                </anchor>
              </controlPr>
            </control>
          </mc:Choice>
        </mc:AlternateContent>
        <mc:AlternateContent xmlns:mc="http://schemas.openxmlformats.org/markup-compatibility/2006">
          <mc:Choice Requires="x14">
            <control shapeId="1293" r:id="rId55" name="Option Button 269">
              <controlPr defaultSize="0" autoFill="0" autoLine="0" autoPict="0">
                <anchor moveWithCells="1">
                  <from>
                    <xdr:col>4</xdr:col>
                    <xdr:colOff>47625</xdr:colOff>
                    <xdr:row>40</xdr:row>
                    <xdr:rowOff>180975</xdr:rowOff>
                  </from>
                  <to>
                    <xdr:col>4</xdr:col>
                    <xdr:colOff>2600325</xdr:colOff>
                    <xdr:row>42</xdr:row>
                    <xdr:rowOff>9525</xdr:rowOff>
                  </to>
                </anchor>
              </controlPr>
            </control>
          </mc:Choice>
        </mc:AlternateContent>
        <mc:AlternateContent xmlns:mc="http://schemas.openxmlformats.org/markup-compatibility/2006">
          <mc:Choice Requires="x14">
            <control shapeId="1294" r:id="rId56" name="Option Button 270">
              <controlPr defaultSize="0" autoFill="0" autoLine="0" autoPict="0">
                <anchor moveWithCells="1">
                  <from>
                    <xdr:col>4</xdr:col>
                    <xdr:colOff>47625</xdr:colOff>
                    <xdr:row>41</xdr:row>
                    <xdr:rowOff>180975</xdr:rowOff>
                  </from>
                  <to>
                    <xdr:col>4</xdr:col>
                    <xdr:colOff>2638425</xdr:colOff>
                    <xdr:row>43</xdr:row>
                    <xdr:rowOff>9525</xdr:rowOff>
                  </to>
                </anchor>
              </controlPr>
            </control>
          </mc:Choice>
        </mc:AlternateContent>
        <mc:AlternateContent xmlns:mc="http://schemas.openxmlformats.org/markup-compatibility/2006">
          <mc:Choice Requires="x14">
            <control shapeId="1300" r:id="rId57" name="Option Button 276">
              <controlPr defaultSize="0" autoFill="0" autoLine="0" autoPict="0">
                <anchor moveWithCells="1">
                  <from>
                    <xdr:col>2</xdr:col>
                    <xdr:colOff>19050</xdr:colOff>
                    <xdr:row>46</xdr:row>
                    <xdr:rowOff>180975</xdr:rowOff>
                  </from>
                  <to>
                    <xdr:col>2</xdr:col>
                    <xdr:colOff>2162175</xdr:colOff>
                    <xdr:row>48</xdr:row>
                    <xdr:rowOff>9525</xdr:rowOff>
                  </to>
                </anchor>
              </controlPr>
            </control>
          </mc:Choice>
        </mc:AlternateContent>
        <mc:AlternateContent xmlns:mc="http://schemas.openxmlformats.org/markup-compatibility/2006">
          <mc:Choice Requires="x14">
            <control shapeId="1301" r:id="rId58" name="Option Button 277">
              <controlPr defaultSize="0" autoFill="0" autoLine="0" autoPict="0">
                <anchor moveWithCells="1">
                  <from>
                    <xdr:col>2</xdr:col>
                    <xdr:colOff>19050</xdr:colOff>
                    <xdr:row>47</xdr:row>
                    <xdr:rowOff>180975</xdr:rowOff>
                  </from>
                  <to>
                    <xdr:col>2</xdr:col>
                    <xdr:colOff>2228850</xdr:colOff>
                    <xdr:row>49</xdr:row>
                    <xdr:rowOff>9525</xdr:rowOff>
                  </to>
                </anchor>
              </controlPr>
            </control>
          </mc:Choice>
        </mc:AlternateContent>
        <mc:AlternateContent xmlns:mc="http://schemas.openxmlformats.org/markup-compatibility/2006">
          <mc:Choice Requires="x14">
            <control shapeId="1302" r:id="rId59" name="Option Button 278">
              <controlPr defaultSize="0" autoFill="0" autoLine="0" autoPict="0">
                <anchor moveWithCells="1">
                  <from>
                    <xdr:col>4</xdr:col>
                    <xdr:colOff>66675</xdr:colOff>
                    <xdr:row>46</xdr:row>
                    <xdr:rowOff>171450</xdr:rowOff>
                  </from>
                  <to>
                    <xdr:col>4</xdr:col>
                    <xdr:colOff>2581275</xdr:colOff>
                    <xdr:row>48</xdr:row>
                    <xdr:rowOff>9525</xdr:rowOff>
                  </to>
                </anchor>
              </controlPr>
            </control>
          </mc:Choice>
        </mc:AlternateContent>
        <mc:AlternateContent xmlns:mc="http://schemas.openxmlformats.org/markup-compatibility/2006">
          <mc:Choice Requires="x14">
            <control shapeId="1303" r:id="rId60" name="Option Button 279">
              <controlPr defaultSize="0" autoFill="0" autoLine="0" autoPict="0">
                <anchor moveWithCells="1">
                  <from>
                    <xdr:col>4</xdr:col>
                    <xdr:colOff>66675</xdr:colOff>
                    <xdr:row>47</xdr:row>
                    <xdr:rowOff>171450</xdr:rowOff>
                  </from>
                  <to>
                    <xdr:col>4</xdr:col>
                    <xdr:colOff>2524125</xdr:colOff>
                    <xdr:row>49</xdr:row>
                    <xdr:rowOff>9525</xdr:rowOff>
                  </to>
                </anchor>
              </controlPr>
            </control>
          </mc:Choice>
        </mc:AlternateContent>
        <mc:AlternateContent xmlns:mc="http://schemas.openxmlformats.org/markup-compatibility/2006">
          <mc:Choice Requires="x14">
            <control shapeId="1312" r:id="rId61" name="Check Box 288">
              <controlPr defaultSize="0" autoFill="0" autoLine="0" autoPict="0" altText="Biobased">
                <anchor moveWithCells="1">
                  <from>
                    <xdr:col>2</xdr:col>
                    <xdr:colOff>0</xdr:colOff>
                    <xdr:row>54</xdr:row>
                    <xdr:rowOff>171450</xdr:rowOff>
                  </from>
                  <to>
                    <xdr:col>2</xdr:col>
                    <xdr:colOff>1962150</xdr:colOff>
                    <xdr:row>56</xdr:row>
                    <xdr:rowOff>28575</xdr:rowOff>
                  </to>
                </anchor>
              </controlPr>
            </control>
          </mc:Choice>
        </mc:AlternateContent>
        <mc:AlternateContent xmlns:mc="http://schemas.openxmlformats.org/markup-compatibility/2006">
          <mc:Choice Requires="x14">
            <control shapeId="1314" r:id="rId62" name="Check Box 290">
              <controlPr defaultSize="0" autoFill="0" autoLine="0" autoPict="0" altText="Biobased">
                <anchor moveWithCells="1">
                  <from>
                    <xdr:col>2</xdr:col>
                    <xdr:colOff>0</xdr:colOff>
                    <xdr:row>56</xdr:row>
                    <xdr:rowOff>171450</xdr:rowOff>
                  </from>
                  <to>
                    <xdr:col>2</xdr:col>
                    <xdr:colOff>1962150</xdr:colOff>
                    <xdr:row>58</xdr:row>
                    <xdr:rowOff>28575</xdr:rowOff>
                  </to>
                </anchor>
              </controlPr>
            </control>
          </mc:Choice>
        </mc:AlternateContent>
        <mc:AlternateContent xmlns:mc="http://schemas.openxmlformats.org/markup-compatibility/2006">
          <mc:Choice Requires="x14">
            <control shapeId="1316" r:id="rId63" name="Check Box 292">
              <controlPr defaultSize="0" autoFill="0" autoLine="0" autoPict="0" altText="Biobased">
                <anchor moveWithCells="1">
                  <from>
                    <xdr:col>2</xdr:col>
                    <xdr:colOff>0</xdr:colOff>
                    <xdr:row>58</xdr:row>
                    <xdr:rowOff>171450</xdr:rowOff>
                  </from>
                  <to>
                    <xdr:col>2</xdr:col>
                    <xdr:colOff>1962150</xdr:colOff>
                    <xdr:row>60</xdr:row>
                    <xdr:rowOff>28575</xdr:rowOff>
                  </to>
                </anchor>
              </controlPr>
            </control>
          </mc:Choice>
        </mc:AlternateContent>
        <mc:AlternateContent xmlns:mc="http://schemas.openxmlformats.org/markup-compatibility/2006">
          <mc:Choice Requires="x14">
            <control shapeId="1317" r:id="rId64" name="Option Button 293">
              <controlPr defaultSize="0" autoFill="0" autoLine="0" autoPict="0">
                <anchor moveWithCells="1">
                  <from>
                    <xdr:col>4</xdr:col>
                    <xdr:colOff>47625</xdr:colOff>
                    <xdr:row>109</xdr:row>
                    <xdr:rowOff>180975</xdr:rowOff>
                  </from>
                  <to>
                    <xdr:col>4</xdr:col>
                    <xdr:colOff>2552700</xdr:colOff>
                    <xdr:row>111</xdr:row>
                    <xdr:rowOff>19050</xdr:rowOff>
                  </to>
                </anchor>
              </controlPr>
            </control>
          </mc:Choice>
        </mc:AlternateContent>
        <mc:AlternateContent xmlns:mc="http://schemas.openxmlformats.org/markup-compatibility/2006">
          <mc:Choice Requires="x14">
            <control shapeId="1318" r:id="rId65" name="Option Button 294">
              <controlPr defaultSize="0" autoFill="0" autoLine="0" autoPict="0">
                <anchor moveWithCells="1">
                  <from>
                    <xdr:col>4</xdr:col>
                    <xdr:colOff>47625</xdr:colOff>
                    <xdr:row>110</xdr:row>
                    <xdr:rowOff>180975</xdr:rowOff>
                  </from>
                  <to>
                    <xdr:col>4</xdr:col>
                    <xdr:colOff>2524125</xdr:colOff>
                    <xdr:row>112</xdr:row>
                    <xdr:rowOff>19050</xdr:rowOff>
                  </to>
                </anchor>
              </controlPr>
            </control>
          </mc:Choice>
        </mc:AlternateContent>
        <mc:AlternateContent xmlns:mc="http://schemas.openxmlformats.org/markup-compatibility/2006">
          <mc:Choice Requires="x14">
            <control shapeId="1319" r:id="rId66" name="Group Box 295">
              <controlPr defaultSize="0" autoFill="0" autoPict="0">
                <anchor moveWithCells="1">
                  <from>
                    <xdr:col>4</xdr:col>
                    <xdr:colOff>0</xdr:colOff>
                    <xdr:row>109</xdr:row>
                    <xdr:rowOff>0</xdr:rowOff>
                  </from>
                  <to>
                    <xdr:col>4</xdr:col>
                    <xdr:colOff>2695575</xdr:colOff>
                    <xdr:row>113</xdr:row>
                    <xdr:rowOff>95250</xdr:rowOff>
                  </to>
                </anchor>
              </controlPr>
            </control>
          </mc:Choice>
        </mc:AlternateContent>
        <mc:AlternateContent xmlns:mc="http://schemas.openxmlformats.org/markup-compatibility/2006">
          <mc:Choice Requires="x14">
            <control shapeId="1320" r:id="rId67" name="Option Button 296">
              <controlPr defaultSize="0" autoFill="0" autoLine="0" autoPict="0">
                <anchor moveWithCells="1">
                  <from>
                    <xdr:col>4</xdr:col>
                    <xdr:colOff>47625</xdr:colOff>
                    <xdr:row>111</xdr:row>
                    <xdr:rowOff>180975</xdr:rowOff>
                  </from>
                  <to>
                    <xdr:col>4</xdr:col>
                    <xdr:colOff>2552700</xdr:colOff>
                    <xdr:row>113</xdr:row>
                    <xdr:rowOff>19050</xdr:rowOff>
                  </to>
                </anchor>
              </controlPr>
            </control>
          </mc:Choice>
        </mc:AlternateContent>
        <mc:AlternateContent xmlns:mc="http://schemas.openxmlformats.org/markup-compatibility/2006">
          <mc:Choice Requires="x14">
            <control shapeId="1321" r:id="rId68" name="Option Button 297">
              <controlPr defaultSize="0" autoFill="0" autoLine="0" autoPict="0">
                <anchor moveWithCells="1">
                  <from>
                    <xdr:col>2</xdr:col>
                    <xdr:colOff>66675</xdr:colOff>
                    <xdr:row>136</xdr:row>
                    <xdr:rowOff>180975</xdr:rowOff>
                  </from>
                  <to>
                    <xdr:col>2</xdr:col>
                    <xdr:colOff>2228850</xdr:colOff>
                    <xdr:row>138</xdr:row>
                    <xdr:rowOff>9525</xdr:rowOff>
                  </to>
                </anchor>
              </controlPr>
            </control>
          </mc:Choice>
        </mc:AlternateContent>
        <mc:AlternateContent xmlns:mc="http://schemas.openxmlformats.org/markup-compatibility/2006">
          <mc:Choice Requires="x14">
            <control shapeId="1322" r:id="rId69" name="Option Button 298">
              <controlPr defaultSize="0" autoFill="0" autoLine="0" autoPict="0">
                <anchor moveWithCells="1">
                  <from>
                    <xdr:col>2</xdr:col>
                    <xdr:colOff>66675</xdr:colOff>
                    <xdr:row>137</xdr:row>
                    <xdr:rowOff>180975</xdr:rowOff>
                  </from>
                  <to>
                    <xdr:col>2</xdr:col>
                    <xdr:colOff>2314575</xdr:colOff>
                    <xdr:row>139</xdr:row>
                    <xdr:rowOff>9525</xdr:rowOff>
                  </to>
                </anchor>
              </controlPr>
            </control>
          </mc:Choice>
        </mc:AlternateContent>
        <mc:AlternateContent xmlns:mc="http://schemas.openxmlformats.org/markup-compatibility/2006">
          <mc:Choice Requires="x14">
            <control shapeId="1323" r:id="rId70" name="Option Button 299">
              <controlPr defaultSize="0" autoFill="0" autoLine="0" autoPict="0">
                <anchor moveWithCells="1">
                  <from>
                    <xdr:col>2</xdr:col>
                    <xdr:colOff>66675</xdr:colOff>
                    <xdr:row>138</xdr:row>
                    <xdr:rowOff>180975</xdr:rowOff>
                  </from>
                  <to>
                    <xdr:col>2</xdr:col>
                    <xdr:colOff>2181225</xdr:colOff>
                    <xdr:row>140</xdr:row>
                    <xdr:rowOff>9525</xdr:rowOff>
                  </to>
                </anchor>
              </controlPr>
            </control>
          </mc:Choice>
        </mc:AlternateContent>
        <mc:AlternateContent xmlns:mc="http://schemas.openxmlformats.org/markup-compatibility/2006">
          <mc:Choice Requires="x14">
            <control shapeId="1324" r:id="rId71" name="Option Button 300">
              <controlPr defaultSize="0" autoFill="0" autoLine="0" autoPict="0">
                <anchor moveWithCells="1">
                  <from>
                    <xdr:col>2</xdr:col>
                    <xdr:colOff>66675</xdr:colOff>
                    <xdr:row>139</xdr:row>
                    <xdr:rowOff>180975</xdr:rowOff>
                  </from>
                  <to>
                    <xdr:col>2</xdr:col>
                    <xdr:colOff>2324100</xdr:colOff>
                    <xdr:row>141</xdr:row>
                    <xdr:rowOff>9525</xdr:rowOff>
                  </to>
                </anchor>
              </controlPr>
            </control>
          </mc:Choice>
        </mc:AlternateContent>
        <mc:AlternateContent xmlns:mc="http://schemas.openxmlformats.org/markup-compatibility/2006">
          <mc:Choice Requires="x14">
            <control shapeId="1325" r:id="rId72" name="Option Button 301">
              <controlPr defaultSize="0" autoFill="0" autoLine="0" autoPict="0">
                <anchor moveWithCells="1">
                  <from>
                    <xdr:col>2</xdr:col>
                    <xdr:colOff>66675</xdr:colOff>
                    <xdr:row>140</xdr:row>
                    <xdr:rowOff>180975</xdr:rowOff>
                  </from>
                  <to>
                    <xdr:col>2</xdr:col>
                    <xdr:colOff>2333625</xdr:colOff>
                    <xdr:row>142</xdr:row>
                    <xdr:rowOff>9525</xdr:rowOff>
                  </to>
                </anchor>
              </controlPr>
            </control>
          </mc:Choice>
        </mc:AlternateContent>
        <mc:AlternateContent xmlns:mc="http://schemas.openxmlformats.org/markup-compatibility/2006">
          <mc:Choice Requires="x14">
            <control shapeId="1327" r:id="rId73" name="Group Box 303">
              <controlPr defaultSize="0" autoFill="0" autoPict="0">
                <anchor moveWithCells="1">
                  <from>
                    <xdr:col>2</xdr:col>
                    <xdr:colOff>9525</xdr:colOff>
                    <xdr:row>136</xdr:row>
                    <xdr:rowOff>0</xdr:rowOff>
                  </from>
                  <to>
                    <xdr:col>2</xdr:col>
                    <xdr:colOff>2705100</xdr:colOff>
                    <xdr:row>142</xdr:row>
                    <xdr:rowOff>76200</xdr:rowOff>
                  </to>
                </anchor>
              </controlPr>
            </control>
          </mc:Choice>
        </mc:AlternateContent>
        <mc:AlternateContent xmlns:mc="http://schemas.openxmlformats.org/markup-compatibility/2006">
          <mc:Choice Requires="x14">
            <control shapeId="1328" r:id="rId74" name="Option Button 304">
              <controlPr defaultSize="0" autoFill="0" autoLine="0" autoPict="0">
                <anchor moveWithCells="1">
                  <from>
                    <xdr:col>2</xdr:col>
                    <xdr:colOff>85725</xdr:colOff>
                    <xdr:row>148</xdr:row>
                    <xdr:rowOff>180975</xdr:rowOff>
                  </from>
                  <to>
                    <xdr:col>2</xdr:col>
                    <xdr:colOff>2409825</xdr:colOff>
                    <xdr:row>150</xdr:row>
                    <xdr:rowOff>9525</xdr:rowOff>
                  </to>
                </anchor>
              </controlPr>
            </control>
          </mc:Choice>
        </mc:AlternateContent>
        <mc:AlternateContent xmlns:mc="http://schemas.openxmlformats.org/markup-compatibility/2006">
          <mc:Choice Requires="x14">
            <control shapeId="1329" r:id="rId75" name="Option Button 305">
              <controlPr defaultSize="0" autoFill="0" autoLine="0" autoPict="0">
                <anchor moveWithCells="1">
                  <from>
                    <xdr:col>2</xdr:col>
                    <xdr:colOff>85725</xdr:colOff>
                    <xdr:row>149</xdr:row>
                    <xdr:rowOff>180975</xdr:rowOff>
                  </from>
                  <to>
                    <xdr:col>2</xdr:col>
                    <xdr:colOff>2333625</xdr:colOff>
                    <xdr:row>151</xdr:row>
                    <xdr:rowOff>9525</xdr:rowOff>
                  </to>
                </anchor>
              </controlPr>
            </control>
          </mc:Choice>
        </mc:AlternateContent>
        <mc:AlternateContent xmlns:mc="http://schemas.openxmlformats.org/markup-compatibility/2006">
          <mc:Choice Requires="x14">
            <control shapeId="1330" r:id="rId76" name="Group Box 306">
              <controlPr defaultSize="0" autoFill="0" autoPict="0">
                <anchor moveWithCells="1">
                  <from>
                    <xdr:col>2</xdr:col>
                    <xdr:colOff>9525</xdr:colOff>
                    <xdr:row>148</xdr:row>
                    <xdr:rowOff>9525</xdr:rowOff>
                  </from>
                  <to>
                    <xdr:col>2</xdr:col>
                    <xdr:colOff>2705100</xdr:colOff>
                    <xdr:row>151</xdr:row>
                    <xdr:rowOff>76200</xdr:rowOff>
                  </to>
                </anchor>
              </controlPr>
            </control>
          </mc:Choice>
        </mc:AlternateContent>
        <mc:AlternateContent xmlns:mc="http://schemas.openxmlformats.org/markup-compatibility/2006">
          <mc:Choice Requires="x14">
            <control shapeId="1331" r:id="rId77" name="Option Button 307">
              <controlPr defaultSize="0" autoFill="0" autoLine="0" autoPict="0">
                <anchor moveWithCells="1">
                  <from>
                    <xdr:col>4</xdr:col>
                    <xdr:colOff>85725</xdr:colOff>
                    <xdr:row>148</xdr:row>
                    <xdr:rowOff>180975</xdr:rowOff>
                  </from>
                  <to>
                    <xdr:col>4</xdr:col>
                    <xdr:colOff>2476500</xdr:colOff>
                    <xdr:row>150</xdr:row>
                    <xdr:rowOff>9525</xdr:rowOff>
                  </to>
                </anchor>
              </controlPr>
            </control>
          </mc:Choice>
        </mc:AlternateContent>
        <mc:AlternateContent xmlns:mc="http://schemas.openxmlformats.org/markup-compatibility/2006">
          <mc:Choice Requires="x14">
            <control shapeId="1332" r:id="rId78" name="Option Button 308">
              <controlPr defaultSize="0" autoFill="0" autoLine="0" autoPict="0">
                <anchor moveWithCells="1">
                  <from>
                    <xdr:col>4</xdr:col>
                    <xdr:colOff>85725</xdr:colOff>
                    <xdr:row>149</xdr:row>
                    <xdr:rowOff>180975</xdr:rowOff>
                  </from>
                  <to>
                    <xdr:col>4</xdr:col>
                    <xdr:colOff>2514600</xdr:colOff>
                    <xdr:row>151</xdr:row>
                    <xdr:rowOff>38100</xdr:rowOff>
                  </to>
                </anchor>
              </controlPr>
            </control>
          </mc:Choice>
        </mc:AlternateContent>
        <mc:AlternateContent xmlns:mc="http://schemas.openxmlformats.org/markup-compatibility/2006">
          <mc:Choice Requires="x14">
            <control shapeId="1333" r:id="rId79" name="Option Button 309">
              <controlPr defaultSize="0" autoFill="0" autoLine="0" autoPict="0">
                <anchor moveWithCells="1">
                  <from>
                    <xdr:col>4</xdr:col>
                    <xdr:colOff>85725</xdr:colOff>
                    <xdr:row>150</xdr:row>
                    <xdr:rowOff>180975</xdr:rowOff>
                  </from>
                  <to>
                    <xdr:col>4</xdr:col>
                    <xdr:colOff>2495550</xdr:colOff>
                    <xdr:row>152</xdr:row>
                    <xdr:rowOff>9525</xdr:rowOff>
                  </to>
                </anchor>
              </controlPr>
            </control>
          </mc:Choice>
        </mc:AlternateContent>
        <mc:AlternateContent xmlns:mc="http://schemas.openxmlformats.org/markup-compatibility/2006">
          <mc:Choice Requires="x14">
            <control shapeId="1334" r:id="rId80" name="Group Box 310">
              <controlPr defaultSize="0" autoFill="0" autoPict="0">
                <anchor moveWithCells="1">
                  <from>
                    <xdr:col>4</xdr:col>
                    <xdr:colOff>0</xdr:colOff>
                    <xdr:row>148</xdr:row>
                    <xdr:rowOff>0</xdr:rowOff>
                  </from>
                  <to>
                    <xdr:col>4</xdr:col>
                    <xdr:colOff>2695575</xdr:colOff>
                    <xdr:row>152</xdr:row>
                    <xdr:rowOff>85725</xdr:rowOff>
                  </to>
                </anchor>
              </controlPr>
            </control>
          </mc:Choice>
        </mc:AlternateContent>
        <mc:AlternateContent xmlns:mc="http://schemas.openxmlformats.org/markup-compatibility/2006">
          <mc:Choice Requires="x14">
            <control shapeId="1335" r:id="rId81" name="Option Button 311">
              <controlPr defaultSize="0" autoFill="0" autoLine="0" autoPict="0">
                <anchor moveWithCells="1">
                  <from>
                    <xdr:col>4</xdr:col>
                    <xdr:colOff>95250</xdr:colOff>
                    <xdr:row>137</xdr:row>
                    <xdr:rowOff>0</xdr:rowOff>
                  </from>
                  <to>
                    <xdr:col>4</xdr:col>
                    <xdr:colOff>2524125</xdr:colOff>
                    <xdr:row>138</xdr:row>
                    <xdr:rowOff>19050</xdr:rowOff>
                  </to>
                </anchor>
              </controlPr>
            </control>
          </mc:Choice>
        </mc:AlternateContent>
        <mc:AlternateContent xmlns:mc="http://schemas.openxmlformats.org/markup-compatibility/2006">
          <mc:Choice Requires="x14">
            <control shapeId="1336" r:id="rId82" name="Option Button 312">
              <controlPr defaultSize="0" autoFill="0" autoLine="0" autoPict="0">
                <anchor moveWithCells="1">
                  <from>
                    <xdr:col>4</xdr:col>
                    <xdr:colOff>95250</xdr:colOff>
                    <xdr:row>138</xdr:row>
                    <xdr:rowOff>0</xdr:rowOff>
                  </from>
                  <to>
                    <xdr:col>4</xdr:col>
                    <xdr:colOff>2600325</xdr:colOff>
                    <xdr:row>139</xdr:row>
                    <xdr:rowOff>19050</xdr:rowOff>
                  </to>
                </anchor>
              </controlPr>
            </control>
          </mc:Choice>
        </mc:AlternateContent>
        <mc:AlternateContent xmlns:mc="http://schemas.openxmlformats.org/markup-compatibility/2006">
          <mc:Choice Requires="x14">
            <control shapeId="1337" r:id="rId83" name="Option Button 313">
              <controlPr defaultSize="0" autoFill="0" autoLine="0" autoPict="0">
                <anchor moveWithCells="1">
                  <from>
                    <xdr:col>4</xdr:col>
                    <xdr:colOff>95250</xdr:colOff>
                    <xdr:row>139</xdr:row>
                    <xdr:rowOff>0</xdr:rowOff>
                  </from>
                  <to>
                    <xdr:col>4</xdr:col>
                    <xdr:colOff>2562225</xdr:colOff>
                    <xdr:row>140</xdr:row>
                    <xdr:rowOff>19050</xdr:rowOff>
                  </to>
                </anchor>
              </controlPr>
            </control>
          </mc:Choice>
        </mc:AlternateContent>
        <mc:AlternateContent xmlns:mc="http://schemas.openxmlformats.org/markup-compatibility/2006">
          <mc:Choice Requires="x14">
            <control shapeId="1339" r:id="rId84" name="Group Box 315">
              <controlPr defaultSize="0" autoFill="0" autoPict="0">
                <anchor moveWithCells="1">
                  <from>
                    <xdr:col>4</xdr:col>
                    <xdr:colOff>0</xdr:colOff>
                    <xdr:row>136</xdr:row>
                    <xdr:rowOff>0</xdr:rowOff>
                  </from>
                  <to>
                    <xdr:col>4</xdr:col>
                    <xdr:colOff>2695575</xdr:colOff>
                    <xdr:row>140</xdr:row>
                    <xdr:rowOff>104775</xdr:rowOff>
                  </to>
                </anchor>
              </controlPr>
            </control>
          </mc:Choice>
        </mc:AlternateContent>
        <mc:AlternateContent xmlns:mc="http://schemas.openxmlformats.org/markup-compatibility/2006">
          <mc:Choice Requires="x14">
            <control shapeId="1340" r:id="rId85" name="Option Button 316">
              <controlPr defaultSize="0" autoFill="0" autoLine="0" autoPict="0">
                <anchor moveWithCells="1">
                  <from>
                    <xdr:col>2</xdr:col>
                    <xdr:colOff>85725</xdr:colOff>
                    <xdr:row>155</xdr:row>
                    <xdr:rowOff>142875</xdr:rowOff>
                  </from>
                  <to>
                    <xdr:col>2</xdr:col>
                    <xdr:colOff>2219325</xdr:colOff>
                    <xdr:row>155</xdr:row>
                    <xdr:rowOff>390525</xdr:rowOff>
                  </to>
                </anchor>
              </controlPr>
            </control>
          </mc:Choice>
        </mc:AlternateContent>
        <mc:AlternateContent xmlns:mc="http://schemas.openxmlformats.org/markup-compatibility/2006">
          <mc:Choice Requires="x14">
            <control shapeId="1342" r:id="rId86" name="Option Button 318">
              <controlPr defaultSize="0" autoFill="0" autoLine="0" autoPict="0">
                <anchor moveWithCells="1">
                  <from>
                    <xdr:col>2</xdr:col>
                    <xdr:colOff>85725</xdr:colOff>
                    <xdr:row>155</xdr:row>
                    <xdr:rowOff>352425</xdr:rowOff>
                  </from>
                  <to>
                    <xdr:col>2</xdr:col>
                    <xdr:colOff>2124075</xdr:colOff>
                    <xdr:row>155</xdr:row>
                    <xdr:rowOff>571500</xdr:rowOff>
                  </to>
                </anchor>
              </controlPr>
            </control>
          </mc:Choice>
        </mc:AlternateContent>
        <mc:AlternateContent xmlns:mc="http://schemas.openxmlformats.org/markup-compatibility/2006">
          <mc:Choice Requires="x14">
            <control shapeId="1343" r:id="rId87" name="Group Box 319">
              <controlPr defaultSize="0" autoFill="0" autoPict="0">
                <anchor moveWithCells="1">
                  <from>
                    <xdr:col>2</xdr:col>
                    <xdr:colOff>9525</xdr:colOff>
                    <xdr:row>155</xdr:row>
                    <xdr:rowOff>9525</xdr:rowOff>
                  </from>
                  <to>
                    <xdr:col>2</xdr:col>
                    <xdr:colOff>2705100</xdr:colOff>
                    <xdr:row>155</xdr:row>
                    <xdr:rowOff>647700</xdr:rowOff>
                  </to>
                </anchor>
              </controlPr>
            </control>
          </mc:Choice>
        </mc:AlternateContent>
        <mc:AlternateContent xmlns:mc="http://schemas.openxmlformats.org/markup-compatibility/2006">
          <mc:Choice Requires="x14">
            <control shapeId="1344" r:id="rId88" name="Option Button 320">
              <controlPr defaultSize="0" autoFill="0" autoLine="0" autoPict="0">
                <anchor moveWithCells="1">
                  <from>
                    <xdr:col>2</xdr:col>
                    <xdr:colOff>95250</xdr:colOff>
                    <xdr:row>157</xdr:row>
                    <xdr:rowOff>180975</xdr:rowOff>
                  </from>
                  <to>
                    <xdr:col>2</xdr:col>
                    <xdr:colOff>2038350</xdr:colOff>
                    <xdr:row>158</xdr:row>
                    <xdr:rowOff>9525</xdr:rowOff>
                  </to>
                </anchor>
              </controlPr>
            </control>
          </mc:Choice>
        </mc:AlternateContent>
        <mc:AlternateContent xmlns:mc="http://schemas.openxmlformats.org/markup-compatibility/2006">
          <mc:Choice Requires="x14">
            <control shapeId="1345" r:id="rId89" name="Option Button 321">
              <controlPr defaultSize="0" autoFill="0" autoLine="0" autoPict="0">
                <anchor moveWithCells="1">
                  <from>
                    <xdr:col>2</xdr:col>
                    <xdr:colOff>95250</xdr:colOff>
                    <xdr:row>158</xdr:row>
                    <xdr:rowOff>0</xdr:rowOff>
                  </from>
                  <to>
                    <xdr:col>2</xdr:col>
                    <xdr:colOff>2171700</xdr:colOff>
                    <xdr:row>159</xdr:row>
                    <xdr:rowOff>19050</xdr:rowOff>
                  </to>
                </anchor>
              </controlPr>
            </control>
          </mc:Choice>
        </mc:AlternateContent>
        <mc:AlternateContent xmlns:mc="http://schemas.openxmlformats.org/markup-compatibility/2006">
          <mc:Choice Requires="x14">
            <control shapeId="1346" r:id="rId90" name="Group Box 322">
              <controlPr defaultSize="0" autoFill="0" autoPict="0">
                <anchor moveWithCells="1">
                  <from>
                    <xdr:col>2</xdr:col>
                    <xdr:colOff>9525</xdr:colOff>
                    <xdr:row>157</xdr:row>
                    <xdr:rowOff>0</xdr:rowOff>
                  </from>
                  <to>
                    <xdr:col>2</xdr:col>
                    <xdr:colOff>2705100</xdr:colOff>
                    <xdr:row>159</xdr:row>
                    <xdr:rowOff>85725</xdr:rowOff>
                  </to>
                </anchor>
              </controlPr>
            </control>
          </mc:Choice>
        </mc:AlternateContent>
        <mc:AlternateContent xmlns:mc="http://schemas.openxmlformats.org/markup-compatibility/2006">
          <mc:Choice Requires="x14">
            <control shapeId="1347" r:id="rId91" name="Option Button 323">
              <controlPr defaultSize="0" autoFill="0" autoLine="0" autoPict="0">
                <anchor moveWithCells="1">
                  <from>
                    <xdr:col>2</xdr:col>
                    <xdr:colOff>104775</xdr:colOff>
                    <xdr:row>161</xdr:row>
                    <xdr:rowOff>171450</xdr:rowOff>
                  </from>
                  <to>
                    <xdr:col>2</xdr:col>
                    <xdr:colOff>2133600</xdr:colOff>
                    <xdr:row>162</xdr:row>
                    <xdr:rowOff>9525</xdr:rowOff>
                  </to>
                </anchor>
              </controlPr>
            </control>
          </mc:Choice>
        </mc:AlternateContent>
        <mc:AlternateContent xmlns:mc="http://schemas.openxmlformats.org/markup-compatibility/2006">
          <mc:Choice Requires="x14">
            <control shapeId="1348" r:id="rId92" name="Option Button 324">
              <controlPr defaultSize="0" autoFill="0" autoLine="0" autoPict="0">
                <anchor moveWithCells="1">
                  <from>
                    <xdr:col>2</xdr:col>
                    <xdr:colOff>104775</xdr:colOff>
                    <xdr:row>162</xdr:row>
                    <xdr:rowOff>0</xdr:rowOff>
                  </from>
                  <to>
                    <xdr:col>2</xdr:col>
                    <xdr:colOff>2171700</xdr:colOff>
                    <xdr:row>163</xdr:row>
                    <xdr:rowOff>47625</xdr:rowOff>
                  </to>
                </anchor>
              </controlPr>
            </control>
          </mc:Choice>
        </mc:AlternateContent>
        <mc:AlternateContent xmlns:mc="http://schemas.openxmlformats.org/markup-compatibility/2006">
          <mc:Choice Requires="x14">
            <control shapeId="1349" r:id="rId93" name="Group Box 325">
              <controlPr defaultSize="0" autoFill="0" autoPict="0">
                <anchor moveWithCells="1">
                  <from>
                    <xdr:col>2</xdr:col>
                    <xdr:colOff>9525</xdr:colOff>
                    <xdr:row>161</xdr:row>
                    <xdr:rowOff>9525</xdr:rowOff>
                  </from>
                  <to>
                    <xdr:col>2</xdr:col>
                    <xdr:colOff>2705100</xdr:colOff>
                    <xdr:row>163</xdr:row>
                    <xdr:rowOff>85725</xdr:rowOff>
                  </to>
                </anchor>
              </controlPr>
            </control>
          </mc:Choice>
        </mc:AlternateContent>
        <mc:AlternateContent xmlns:mc="http://schemas.openxmlformats.org/markup-compatibility/2006">
          <mc:Choice Requires="x14">
            <control shapeId="1350" r:id="rId94" name="Option Button 326">
              <controlPr defaultSize="0" autoFill="0" autoLine="0" autoPict="0">
                <anchor moveWithCells="1">
                  <from>
                    <xdr:col>2</xdr:col>
                    <xdr:colOff>114300</xdr:colOff>
                    <xdr:row>165</xdr:row>
                    <xdr:rowOff>180975</xdr:rowOff>
                  </from>
                  <to>
                    <xdr:col>2</xdr:col>
                    <xdr:colOff>1943100</xdr:colOff>
                    <xdr:row>166</xdr:row>
                    <xdr:rowOff>9525</xdr:rowOff>
                  </to>
                </anchor>
              </controlPr>
            </control>
          </mc:Choice>
        </mc:AlternateContent>
        <mc:AlternateContent xmlns:mc="http://schemas.openxmlformats.org/markup-compatibility/2006">
          <mc:Choice Requires="x14">
            <control shapeId="1351" r:id="rId95" name="Option Button 327">
              <controlPr defaultSize="0" autoFill="0" autoLine="0" autoPict="0">
                <anchor moveWithCells="1">
                  <from>
                    <xdr:col>2</xdr:col>
                    <xdr:colOff>114300</xdr:colOff>
                    <xdr:row>166</xdr:row>
                    <xdr:rowOff>0</xdr:rowOff>
                  </from>
                  <to>
                    <xdr:col>2</xdr:col>
                    <xdr:colOff>2143125</xdr:colOff>
                    <xdr:row>167</xdr:row>
                    <xdr:rowOff>19050</xdr:rowOff>
                  </to>
                </anchor>
              </controlPr>
            </control>
          </mc:Choice>
        </mc:AlternateContent>
        <mc:AlternateContent xmlns:mc="http://schemas.openxmlformats.org/markup-compatibility/2006">
          <mc:Choice Requires="x14">
            <control shapeId="1353" r:id="rId96" name="Group Box 329">
              <controlPr defaultSize="0" autoFill="0" autoPict="0">
                <anchor moveWithCells="1">
                  <from>
                    <xdr:col>2</xdr:col>
                    <xdr:colOff>0</xdr:colOff>
                    <xdr:row>165</xdr:row>
                    <xdr:rowOff>0</xdr:rowOff>
                  </from>
                  <to>
                    <xdr:col>2</xdr:col>
                    <xdr:colOff>2695575</xdr:colOff>
                    <xdr:row>167</xdr:row>
                    <xdr:rowOff>57150</xdr:rowOff>
                  </to>
                </anchor>
              </controlPr>
            </control>
          </mc:Choice>
        </mc:AlternateContent>
        <mc:AlternateContent xmlns:mc="http://schemas.openxmlformats.org/markup-compatibility/2006">
          <mc:Choice Requires="x14">
            <control shapeId="1356" r:id="rId97" name="Option Button 332">
              <controlPr defaultSize="0" autoFill="0" autoLine="0" autoPict="0">
                <anchor moveWithCells="1">
                  <from>
                    <xdr:col>2</xdr:col>
                    <xdr:colOff>85725</xdr:colOff>
                    <xdr:row>64</xdr:row>
                    <xdr:rowOff>390525</xdr:rowOff>
                  </from>
                  <to>
                    <xdr:col>2</xdr:col>
                    <xdr:colOff>2457450</xdr:colOff>
                    <xdr:row>64</xdr:row>
                    <xdr:rowOff>609600</xdr:rowOff>
                  </to>
                </anchor>
              </controlPr>
            </control>
          </mc:Choice>
        </mc:AlternateContent>
        <mc:AlternateContent xmlns:mc="http://schemas.openxmlformats.org/markup-compatibility/2006">
          <mc:Choice Requires="x14">
            <control shapeId="1357" r:id="rId98" name="Option Button 333">
              <controlPr defaultSize="0" autoFill="0" autoLine="0" autoPict="0">
                <anchor moveWithCells="1">
                  <from>
                    <xdr:col>2</xdr:col>
                    <xdr:colOff>85725</xdr:colOff>
                    <xdr:row>64</xdr:row>
                    <xdr:rowOff>590550</xdr:rowOff>
                  </from>
                  <to>
                    <xdr:col>2</xdr:col>
                    <xdr:colOff>2162175</xdr:colOff>
                    <xdr:row>64</xdr:row>
                    <xdr:rowOff>809625</xdr:rowOff>
                  </to>
                </anchor>
              </controlPr>
            </control>
          </mc:Choice>
        </mc:AlternateContent>
        <mc:AlternateContent xmlns:mc="http://schemas.openxmlformats.org/markup-compatibility/2006">
          <mc:Choice Requires="x14">
            <control shapeId="1359" r:id="rId99" name="Group Box 335">
              <controlPr defaultSize="0" autoFill="0" autoPict="0">
                <anchor moveWithCells="1">
                  <from>
                    <xdr:col>2</xdr:col>
                    <xdr:colOff>0</xdr:colOff>
                    <xdr:row>64</xdr:row>
                    <xdr:rowOff>228600</xdr:rowOff>
                  </from>
                  <to>
                    <xdr:col>2</xdr:col>
                    <xdr:colOff>2695575</xdr:colOff>
                    <xdr:row>65</xdr:row>
                    <xdr:rowOff>9525</xdr:rowOff>
                  </to>
                </anchor>
              </controlPr>
            </control>
          </mc:Choice>
        </mc:AlternateContent>
        <mc:AlternateContent xmlns:mc="http://schemas.openxmlformats.org/markup-compatibility/2006">
          <mc:Choice Requires="x14">
            <control shapeId="1360" r:id="rId100" name="Option Button 336">
              <controlPr defaultSize="0" autoFill="0" autoLine="0" autoPict="0">
                <anchor moveWithCells="1">
                  <from>
                    <xdr:col>2</xdr:col>
                    <xdr:colOff>95250</xdr:colOff>
                    <xdr:row>67</xdr:row>
                    <xdr:rowOff>180975</xdr:rowOff>
                  </from>
                  <to>
                    <xdr:col>2</xdr:col>
                    <xdr:colOff>2171700</xdr:colOff>
                    <xdr:row>69</xdr:row>
                    <xdr:rowOff>19050</xdr:rowOff>
                  </to>
                </anchor>
              </controlPr>
            </control>
          </mc:Choice>
        </mc:AlternateContent>
        <mc:AlternateContent xmlns:mc="http://schemas.openxmlformats.org/markup-compatibility/2006">
          <mc:Choice Requires="x14">
            <control shapeId="1361" r:id="rId101" name="Option Button 337">
              <controlPr defaultSize="0" autoFill="0" autoLine="0" autoPict="0">
                <anchor moveWithCells="1">
                  <from>
                    <xdr:col>2</xdr:col>
                    <xdr:colOff>95250</xdr:colOff>
                    <xdr:row>68</xdr:row>
                    <xdr:rowOff>180975</xdr:rowOff>
                  </from>
                  <to>
                    <xdr:col>2</xdr:col>
                    <xdr:colOff>2247900</xdr:colOff>
                    <xdr:row>70</xdr:row>
                    <xdr:rowOff>19050</xdr:rowOff>
                  </to>
                </anchor>
              </controlPr>
            </control>
          </mc:Choice>
        </mc:AlternateContent>
        <mc:AlternateContent xmlns:mc="http://schemas.openxmlformats.org/markup-compatibility/2006">
          <mc:Choice Requires="x14">
            <control shapeId="1363" r:id="rId102" name="Group Box 339">
              <controlPr defaultSize="0" autoFill="0" autoPict="0">
                <anchor moveWithCells="1">
                  <from>
                    <xdr:col>2</xdr:col>
                    <xdr:colOff>0</xdr:colOff>
                    <xdr:row>67</xdr:row>
                    <xdr:rowOff>0</xdr:rowOff>
                  </from>
                  <to>
                    <xdr:col>2</xdr:col>
                    <xdr:colOff>2695575</xdr:colOff>
                    <xdr:row>70</xdr:row>
                    <xdr:rowOff>57150</xdr:rowOff>
                  </to>
                </anchor>
              </controlPr>
            </control>
          </mc:Choice>
        </mc:AlternateContent>
        <mc:AlternateContent xmlns:mc="http://schemas.openxmlformats.org/markup-compatibility/2006">
          <mc:Choice Requires="x14">
            <control shapeId="1364" r:id="rId103" name="Option Button 340">
              <controlPr defaultSize="0" autoFill="0" autoLine="0" autoPict="0">
                <anchor moveWithCells="1">
                  <from>
                    <xdr:col>2</xdr:col>
                    <xdr:colOff>114300</xdr:colOff>
                    <xdr:row>73</xdr:row>
                    <xdr:rowOff>180975</xdr:rowOff>
                  </from>
                  <to>
                    <xdr:col>2</xdr:col>
                    <xdr:colOff>2286000</xdr:colOff>
                    <xdr:row>75</xdr:row>
                    <xdr:rowOff>19050</xdr:rowOff>
                  </to>
                </anchor>
              </controlPr>
            </control>
          </mc:Choice>
        </mc:AlternateContent>
        <mc:AlternateContent xmlns:mc="http://schemas.openxmlformats.org/markup-compatibility/2006">
          <mc:Choice Requires="x14">
            <control shapeId="1365" r:id="rId104" name="Option Button 341">
              <controlPr defaultSize="0" autoFill="0" autoLine="0" autoPict="0">
                <anchor moveWithCells="1">
                  <from>
                    <xdr:col>2</xdr:col>
                    <xdr:colOff>114300</xdr:colOff>
                    <xdr:row>74</xdr:row>
                    <xdr:rowOff>180975</xdr:rowOff>
                  </from>
                  <to>
                    <xdr:col>2</xdr:col>
                    <xdr:colOff>2266950</xdr:colOff>
                    <xdr:row>76</xdr:row>
                    <xdr:rowOff>19050</xdr:rowOff>
                  </to>
                </anchor>
              </controlPr>
            </control>
          </mc:Choice>
        </mc:AlternateContent>
        <mc:AlternateContent xmlns:mc="http://schemas.openxmlformats.org/markup-compatibility/2006">
          <mc:Choice Requires="x14">
            <control shapeId="1366" r:id="rId105" name="Group Box 342">
              <controlPr defaultSize="0" autoFill="0" autoPict="0">
                <anchor moveWithCells="1">
                  <from>
                    <xdr:col>2</xdr:col>
                    <xdr:colOff>0</xdr:colOff>
                    <xdr:row>73</xdr:row>
                    <xdr:rowOff>0</xdr:rowOff>
                  </from>
                  <to>
                    <xdr:col>2</xdr:col>
                    <xdr:colOff>2695575</xdr:colOff>
                    <xdr:row>76</xdr:row>
                    <xdr:rowOff>66675</xdr:rowOff>
                  </to>
                </anchor>
              </controlPr>
            </control>
          </mc:Choice>
        </mc:AlternateContent>
        <mc:AlternateContent xmlns:mc="http://schemas.openxmlformats.org/markup-compatibility/2006">
          <mc:Choice Requires="x14">
            <control shapeId="1367" r:id="rId106" name="Option Button 343">
              <controlPr defaultSize="0" autoFill="0" autoLine="0" autoPict="0">
                <anchor moveWithCells="1">
                  <from>
                    <xdr:col>2</xdr:col>
                    <xdr:colOff>123825</xdr:colOff>
                    <xdr:row>79</xdr:row>
                    <xdr:rowOff>180975</xdr:rowOff>
                  </from>
                  <to>
                    <xdr:col>2</xdr:col>
                    <xdr:colOff>2228850</xdr:colOff>
                    <xdr:row>81</xdr:row>
                    <xdr:rowOff>19050</xdr:rowOff>
                  </to>
                </anchor>
              </controlPr>
            </control>
          </mc:Choice>
        </mc:AlternateContent>
        <mc:AlternateContent xmlns:mc="http://schemas.openxmlformats.org/markup-compatibility/2006">
          <mc:Choice Requires="x14">
            <control shapeId="1368" r:id="rId107" name="Option Button 344">
              <controlPr defaultSize="0" autoFill="0" autoLine="0" autoPict="0">
                <anchor moveWithCells="1">
                  <from>
                    <xdr:col>2</xdr:col>
                    <xdr:colOff>123825</xdr:colOff>
                    <xdr:row>80</xdr:row>
                    <xdr:rowOff>180975</xdr:rowOff>
                  </from>
                  <to>
                    <xdr:col>2</xdr:col>
                    <xdr:colOff>2124075</xdr:colOff>
                    <xdr:row>82</xdr:row>
                    <xdr:rowOff>19050</xdr:rowOff>
                  </to>
                </anchor>
              </controlPr>
            </control>
          </mc:Choice>
        </mc:AlternateContent>
        <mc:AlternateContent xmlns:mc="http://schemas.openxmlformats.org/markup-compatibility/2006">
          <mc:Choice Requires="x14">
            <control shapeId="1369" r:id="rId108" name="Group Box 345">
              <controlPr defaultSize="0" autoFill="0" autoPict="0">
                <anchor moveWithCells="1">
                  <from>
                    <xdr:col>2</xdr:col>
                    <xdr:colOff>0</xdr:colOff>
                    <xdr:row>79</xdr:row>
                    <xdr:rowOff>0</xdr:rowOff>
                  </from>
                  <to>
                    <xdr:col>2</xdr:col>
                    <xdr:colOff>2695575</xdr:colOff>
                    <xdr:row>82</xdr:row>
                    <xdr:rowOff>85725</xdr:rowOff>
                  </to>
                </anchor>
              </controlPr>
            </control>
          </mc:Choice>
        </mc:AlternateContent>
        <mc:AlternateContent xmlns:mc="http://schemas.openxmlformats.org/markup-compatibility/2006">
          <mc:Choice Requires="x14">
            <control shapeId="1370" r:id="rId109" name="Option Button 346">
              <controlPr defaultSize="0" autoFill="0" autoLine="0" autoPict="0">
                <anchor moveWithCells="1">
                  <from>
                    <xdr:col>2</xdr:col>
                    <xdr:colOff>114300</xdr:colOff>
                    <xdr:row>85</xdr:row>
                    <xdr:rowOff>171450</xdr:rowOff>
                  </from>
                  <to>
                    <xdr:col>2</xdr:col>
                    <xdr:colOff>2305050</xdr:colOff>
                    <xdr:row>87</xdr:row>
                    <xdr:rowOff>9525</xdr:rowOff>
                  </to>
                </anchor>
              </controlPr>
            </control>
          </mc:Choice>
        </mc:AlternateContent>
        <mc:AlternateContent xmlns:mc="http://schemas.openxmlformats.org/markup-compatibility/2006">
          <mc:Choice Requires="x14">
            <control shapeId="1371" r:id="rId110" name="Option Button 347">
              <controlPr defaultSize="0" autoFill="0" autoLine="0" autoPict="0">
                <anchor moveWithCells="1">
                  <from>
                    <xdr:col>2</xdr:col>
                    <xdr:colOff>114300</xdr:colOff>
                    <xdr:row>86</xdr:row>
                    <xdr:rowOff>171450</xdr:rowOff>
                  </from>
                  <to>
                    <xdr:col>2</xdr:col>
                    <xdr:colOff>2238375</xdr:colOff>
                    <xdr:row>88</xdr:row>
                    <xdr:rowOff>9525</xdr:rowOff>
                  </to>
                </anchor>
              </controlPr>
            </control>
          </mc:Choice>
        </mc:AlternateContent>
        <mc:AlternateContent xmlns:mc="http://schemas.openxmlformats.org/markup-compatibility/2006">
          <mc:Choice Requires="x14">
            <control shapeId="1372" r:id="rId111" name="Group Box 348">
              <controlPr defaultSize="0" autoFill="0" autoPict="0">
                <anchor moveWithCells="1">
                  <from>
                    <xdr:col>2</xdr:col>
                    <xdr:colOff>0</xdr:colOff>
                    <xdr:row>85</xdr:row>
                    <xdr:rowOff>0</xdr:rowOff>
                  </from>
                  <to>
                    <xdr:col>2</xdr:col>
                    <xdr:colOff>2695575</xdr:colOff>
                    <xdr:row>88</xdr:row>
                    <xdr:rowOff>76200</xdr:rowOff>
                  </to>
                </anchor>
              </controlPr>
            </control>
          </mc:Choice>
        </mc:AlternateContent>
        <mc:AlternateContent xmlns:mc="http://schemas.openxmlformats.org/markup-compatibility/2006">
          <mc:Choice Requires="x14">
            <control shapeId="1373" r:id="rId112" name="Option Button 349">
              <controlPr defaultSize="0" autoFill="0" autoLine="0" autoPict="0">
                <anchor moveWithCells="1">
                  <from>
                    <xdr:col>2</xdr:col>
                    <xdr:colOff>123825</xdr:colOff>
                    <xdr:row>91</xdr:row>
                    <xdr:rowOff>180975</xdr:rowOff>
                  </from>
                  <to>
                    <xdr:col>2</xdr:col>
                    <xdr:colOff>2200275</xdr:colOff>
                    <xdr:row>93</xdr:row>
                    <xdr:rowOff>19050</xdr:rowOff>
                  </to>
                </anchor>
              </controlPr>
            </control>
          </mc:Choice>
        </mc:AlternateContent>
        <mc:AlternateContent xmlns:mc="http://schemas.openxmlformats.org/markup-compatibility/2006">
          <mc:Choice Requires="x14">
            <control shapeId="1374" r:id="rId113" name="Option Button 350">
              <controlPr defaultSize="0" autoFill="0" autoLine="0" autoPict="0">
                <anchor moveWithCells="1">
                  <from>
                    <xdr:col>2</xdr:col>
                    <xdr:colOff>123825</xdr:colOff>
                    <xdr:row>92</xdr:row>
                    <xdr:rowOff>180975</xdr:rowOff>
                  </from>
                  <to>
                    <xdr:col>2</xdr:col>
                    <xdr:colOff>2352675</xdr:colOff>
                    <xdr:row>94</xdr:row>
                    <xdr:rowOff>19050</xdr:rowOff>
                  </to>
                </anchor>
              </controlPr>
            </control>
          </mc:Choice>
        </mc:AlternateContent>
        <mc:AlternateContent xmlns:mc="http://schemas.openxmlformats.org/markup-compatibility/2006">
          <mc:Choice Requires="x14">
            <control shapeId="1375" r:id="rId114" name="Group Box 351">
              <controlPr defaultSize="0" autoFill="0" autoPict="0">
                <anchor moveWithCells="1">
                  <from>
                    <xdr:col>2</xdr:col>
                    <xdr:colOff>0</xdr:colOff>
                    <xdr:row>91</xdr:row>
                    <xdr:rowOff>0</xdr:rowOff>
                  </from>
                  <to>
                    <xdr:col>2</xdr:col>
                    <xdr:colOff>2695575</xdr:colOff>
                    <xdr:row>94</xdr:row>
                    <xdr:rowOff>95250</xdr:rowOff>
                  </to>
                </anchor>
              </controlPr>
            </control>
          </mc:Choice>
        </mc:AlternateContent>
        <mc:AlternateContent xmlns:mc="http://schemas.openxmlformats.org/markup-compatibility/2006">
          <mc:Choice Requires="x14">
            <control shapeId="1376" r:id="rId115" name="Option Button 352">
              <controlPr defaultSize="0" autoFill="0" autoLine="0" autoPict="0">
                <anchor moveWithCells="1">
                  <from>
                    <xdr:col>2</xdr:col>
                    <xdr:colOff>114300</xdr:colOff>
                    <xdr:row>97</xdr:row>
                    <xdr:rowOff>171450</xdr:rowOff>
                  </from>
                  <to>
                    <xdr:col>2</xdr:col>
                    <xdr:colOff>2047875</xdr:colOff>
                    <xdr:row>99</xdr:row>
                    <xdr:rowOff>9525</xdr:rowOff>
                  </to>
                </anchor>
              </controlPr>
            </control>
          </mc:Choice>
        </mc:AlternateContent>
        <mc:AlternateContent xmlns:mc="http://schemas.openxmlformats.org/markup-compatibility/2006">
          <mc:Choice Requires="x14">
            <control shapeId="1377" r:id="rId116" name="Option Button 353">
              <controlPr defaultSize="0" autoFill="0" autoLine="0" autoPict="0">
                <anchor moveWithCells="1">
                  <from>
                    <xdr:col>2</xdr:col>
                    <xdr:colOff>114300</xdr:colOff>
                    <xdr:row>98</xdr:row>
                    <xdr:rowOff>171450</xdr:rowOff>
                  </from>
                  <to>
                    <xdr:col>2</xdr:col>
                    <xdr:colOff>2038350</xdr:colOff>
                    <xdr:row>100</xdr:row>
                    <xdr:rowOff>9525</xdr:rowOff>
                  </to>
                </anchor>
              </controlPr>
            </control>
          </mc:Choice>
        </mc:AlternateContent>
        <mc:AlternateContent xmlns:mc="http://schemas.openxmlformats.org/markup-compatibility/2006">
          <mc:Choice Requires="x14">
            <control shapeId="1378" r:id="rId117" name="Group Box 354">
              <controlPr defaultSize="0" autoFill="0" autoPict="0">
                <anchor moveWithCells="1">
                  <from>
                    <xdr:col>2</xdr:col>
                    <xdr:colOff>0</xdr:colOff>
                    <xdr:row>97</xdr:row>
                    <xdr:rowOff>0</xdr:rowOff>
                  </from>
                  <to>
                    <xdr:col>2</xdr:col>
                    <xdr:colOff>2695575</xdr:colOff>
                    <xdr:row>100</xdr:row>
                    <xdr:rowOff>66675</xdr:rowOff>
                  </to>
                </anchor>
              </controlPr>
            </control>
          </mc:Choice>
        </mc:AlternateContent>
        <mc:AlternateContent xmlns:mc="http://schemas.openxmlformats.org/markup-compatibility/2006">
          <mc:Choice Requires="x14">
            <control shapeId="1379" r:id="rId118" name="Option Button 355">
              <controlPr defaultSize="0" autoFill="0" autoLine="0" autoPict="0">
                <anchor moveWithCells="1">
                  <from>
                    <xdr:col>4</xdr:col>
                    <xdr:colOff>85725</xdr:colOff>
                    <xdr:row>67</xdr:row>
                    <xdr:rowOff>180975</xdr:rowOff>
                  </from>
                  <to>
                    <xdr:col>4</xdr:col>
                    <xdr:colOff>2428875</xdr:colOff>
                    <xdr:row>69</xdr:row>
                    <xdr:rowOff>19050</xdr:rowOff>
                  </to>
                </anchor>
              </controlPr>
            </control>
          </mc:Choice>
        </mc:AlternateContent>
        <mc:AlternateContent xmlns:mc="http://schemas.openxmlformats.org/markup-compatibility/2006">
          <mc:Choice Requires="x14">
            <control shapeId="1380" r:id="rId119" name="Option Button 356">
              <controlPr defaultSize="0" autoFill="0" autoLine="0" autoPict="0">
                <anchor moveWithCells="1">
                  <from>
                    <xdr:col>4</xdr:col>
                    <xdr:colOff>85725</xdr:colOff>
                    <xdr:row>68</xdr:row>
                    <xdr:rowOff>180975</xdr:rowOff>
                  </from>
                  <to>
                    <xdr:col>4</xdr:col>
                    <xdr:colOff>2686050</xdr:colOff>
                    <xdr:row>70</xdr:row>
                    <xdr:rowOff>19050</xdr:rowOff>
                  </to>
                </anchor>
              </controlPr>
            </control>
          </mc:Choice>
        </mc:AlternateContent>
        <mc:AlternateContent xmlns:mc="http://schemas.openxmlformats.org/markup-compatibility/2006">
          <mc:Choice Requires="x14">
            <control shapeId="1381" r:id="rId120" name="Option Button 357">
              <controlPr defaultSize="0" autoFill="0" autoLine="0" autoPict="0">
                <anchor moveWithCells="1">
                  <from>
                    <xdr:col>4</xdr:col>
                    <xdr:colOff>85725</xdr:colOff>
                    <xdr:row>69</xdr:row>
                    <xdr:rowOff>180975</xdr:rowOff>
                  </from>
                  <to>
                    <xdr:col>4</xdr:col>
                    <xdr:colOff>2514600</xdr:colOff>
                    <xdr:row>71</xdr:row>
                    <xdr:rowOff>19050</xdr:rowOff>
                  </to>
                </anchor>
              </controlPr>
            </control>
          </mc:Choice>
        </mc:AlternateContent>
        <mc:AlternateContent xmlns:mc="http://schemas.openxmlformats.org/markup-compatibility/2006">
          <mc:Choice Requires="x14">
            <control shapeId="1385" r:id="rId121" name="Group Box 361">
              <controlPr defaultSize="0" autoFill="0" autoPict="0">
                <anchor moveWithCells="1">
                  <from>
                    <xdr:col>4</xdr:col>
                    <xdr:colOff>9525</xdr:colOff>
                    <xdr:row>67</xdr:row>
                    <xdr:rowOff>0</xdr:rowOff>
                  </from>
                  <to>
                    <xdr:col>4</xdr:col>
                    <xdr:colOff>2705100</xdr:colOff>
                    <xdr:row>71</xdr:row>
                    <xdr:rowOff>57150</xdr:rowOff>
                  </to>
                </anchor>
              </controlPr>
            </control>
          </mc:Choice>
        </mc:AlternateContent>
        <mc:AlternateContent xmlns:mc="http://schemas.openxmlformats.org/markup-compatibility/2006">
          <mc:Choice Requires="x14">
            <control shapeId="1386" r:id="rId122" name="Option Button 362">
              <controlPr defaultSize="0" autoFill="0" autoLine="0" autoPict="0">
                <anchor moveWithCells="1">
                  <from>
                    <xdr:col>4</xdr:col>
                    <xdr:colOff>85725</xdr:colOff>
                    <xdr:row>73</xdr:row>
                    <xdr:rowOff>180975</xdr:rowOff>
                  </from>
                  <to>
                    <xdr:col>4</xdr:col>
                    <xdr:colOff>2552700</xdr:colOff>
                    <xdr:row>75</xdr:row>
                    <xdr:rowOff>9525</xdr:rowOff>
                  </to>
                </anchor>
              </controlPr>
            </control>
          </mc:Choice>
        </mc:AlternateContent>
        <mc:AlternateContent xmlns:mc="http://schemas.openxmlformats.org/markup-compatibility/2006">
          <mc:Choice Requires="x14">
            <control shapeId="1387" r:id="rId123" name="Option Button 363">
              <controlPr defaultSize="0" autoFill="0" autoLine="0" autoPict="0">
                <anchor moveWithCells="1">
                  <from>
                    <xdr:col>4</xdr:col>
                    <xdr:colOff>85725</xdr:colOff>
                    <xdr:row>74</xdr:row>
                    <xdr:rowOff>180975</xdr:rowOff>
                  </from>
                  <to>
                    <xdr:col>4</xdr:col>
                    <xdr:colOff>2562225</xdr:colOff>
                    <xdr:row>76</xdr:row>
                    <xdr:rowOff>9525</xdr:rowOff>
                  </to>
                </anchor>
              </controlPr>
            </control>
          </mc:Choice>
        </mc:AlternateContent>
        <mc:AlternateContent xmlns:mc="http://schemas.openxmlformats.org/markup-compatibility/2006">
          <mc:Choice Requires="x14">
            <control shapeId="1388" r:id="rId124" name="Option Button 364">
              <controlPr defaultSize="0" autoFill="0" autoLine="0" autoPict="0">
                <anchor moveWithCells="1">
                  <from>
                    <xdr:col>4</xdr:col>
                    <xdr:colOff>85725</xdr:colOff>
                    <xdr:row>75</xdr:row>
                    <xdr:rowOff>180975</xdr:rowOff>
                  </from>
                  <to>
                    <xdr:col>4</xdr:col>
                    <xdr:colOff>2571750</xdr:colOff>
                    <xdr:row>77</xdr:row>
                    <xdr:rowOff>9525</xdr:rowOff>
                  </to>
                </anchor>
              </controlPr>
            </control>
          </mc:Choice>
        </mc:AlternateContent>
        <mc:AlternateContent xmlns:mc="http://schemas.openxmlformats.org/markup-compatibility/2006">
          <mc:Choice Requires="x14">
            <control shapeId="1391" r:id="rId125" name="Group Box 367">
              <controlPr defaultSize="0" autoFill="0" autoPict="0">
                <anchor moveWithCells="1">
                  <from>
                    <xdr:col>4</xdr:col>
                    <xdr:colOff>0</xdr:colOff>
                    <xdr:row>73</xdr:row>
                    <xdr:rowOff>0</xdr:rowOff>
                  </from>
                  <to>
                    <xdr:col>4</xdr:col>
                    <xdr:colOff>2695575</xdr:colOff>
                    <xdr:row>77</xdr:row>
                    <xdr:rowOff>57150</xdr:rowOff>
                  </to>
                </anchor>
              </controlPr>
            </control>
          </mc:Choice>
        </mc:AlternateContent>
        <mc:AlternateContent xmlns:mc="http://schemas.openxmlformats.org/markup-compatibility/2006">
          <mc:Choice Requires="x14">
            <control shapeId="1392" r:id="rId126" name="Option Button 368">
              <controlPr defaultSize="0" autoFill="0" autoLine="0" autoPict="0">
                <anchor moveWithCells="1">
                  <from>
                    <xdr:col>4</xdr:col>
                    <xdr:colOff>95250</xdr:colOff>
                    <xdr:row>79</xdr:row>
                    <xdr:rowOff>171450</xdr:rowOff>
                  </from>
                  <to>
                    <xdr:col>4</xdr:col>
                    <xdr:colOff>2352675</xdr:colOff>
                    <xdr:row>81</xdr:row>
                    <xdr:rowOff>9525</xdr:rowOff>
                  </to>
                </anchor>
              </controlPr>
            </control>
          </mc:Choice>
        </mc:AlternateContent>
        <mc:AlternateContent xmlns:mc="http://schemas.openxmlformats.org/markup-compatibility/2006">
          <mc:Choice Requires="x14">
            <control shapeId="1393" r:id="rId127" name="Option Button 369">
              <controlPr defaultSize="0" autoFill="0" autoLine="0" autoPict="0">
                <anchor moveWithCells="1">
                  <from>
                    <xdr:col>4</xdr:col>
                    <xdr:colOff>95250</xdr:colOff>
                    <xdr:row>80</xdr:row>
                    <xdr:rowOff>171450</xdr:rowOff>
                  </from>
                  <to>
                    <xdr:col>4</xdr:col>
                    <xdr:colOff>2581275</xdr:colOff>
                    <xdr:row>82</xdr:row>
                    <xdr:rowOff>9525</xdr:rowOff>
                  </to>
                </anchor>
              </controlPr>
            </control>
          </mc:Choice>
        </mc:AlternateContent>
        <mc:AlternateContent xmlns:mc="http://schemas.openxmlformats.org/markup-compatibility/2006">
          <mc:Choice Requires="x14">
            <control shapeId="1394" r:id="rId128" name="Option Button 370">
              <controlPr defaultSize="0" autoFill="0" autoLine="0" autoPict="0">
                <anchor moveWithCells="1">
                  <from>
                    <xdr:col>4</xdr:col>
                    <xdr:colOff>95250</xdr:colOff>
                    <xdr:row>81</xdr:row>
                    <xdr:rowOff>171450</xdr:rowOff>
                  </from>
                  <to>
                    <xdr:col>4</xdr:col>
                    <xdr:colOff>2514600</xdr:colOff>
                    <xdr:row>83</xdr:row>
                    <xdr:rowOff>9525</xdr:rowOff>
                  </to>
                </anchor>
              </controlPr>
            </control>
          </mc:Choice>
        </mc:AlternateContent>
        <mc:AlternateContent xmlns:mc="http://schemas.openxmlformats.org/markup-compatibility/2006">
          <mc:Choice Requires="x14">
            <control shapeId="1396" r:id="rId129" name="Group Box 372">
              <controlPr defaultSize="0" autoFill="0" autoPict="0">
                <anchor moveWithCells="1">
                  <from>
                    <xdr:col>4</xdr:col>
                    <xdr:colOff>0</xdr:colOff>
                    <xdr:row>79</xdr:row>
                    <xdr:rowOff>0</xdr:rowOff>
                  </from>
                  <to>
                    <xdr:col>4</xdr:col>
                    <xdr:colOff>2695575</xdr:colOff>
                    <xdr:row>83</xdr:row>
                    <xdr:rowOff>57150</xdr:rowOff>
                  </to>
                </anchor>
              </controlPr>
            </control>
          </mc:Choice>
        </mc:AlternateContent>
        <mc:AlternateContent xmlns:mc="http://schemas.openxmlformats.org/markup-compatibility/2006">
          <mc:Choice Requires="x14">
            <control shapeId="1397" r:id="rId130" name="Option Button 373">
              <controlPr defaultSize="0" autoFill="0" autoLine="0" autoPict="0">
                <anchor moveWithCells="1">
                  <from>
                    <xdr:col>4</xdr:col>
                    <xdr:colOff>85725</xdr:colOff>
                    <xdr:row>85</xdr:row>
                    <xdr:rowOff>171450</xdr:rowOff>
                  </from>
                  <to>
                    <xdr:col>4</xdr:col>
                    <xdr:colOff>2619375</xdr:colOff>
                    <xdr:row>87</xdr:row>
                    <xdr:rowOff>9525</xdr:rowOff>
                  </to>
                </anchor>
              </controlPr>
            </control>
          </mc:Choice>
        </mc:AlternateContent>
        <mc:AlternateContent xmlns:mc="http://schemas.openxmlformats.org/markup-compatibility/2006">
          <mc:Choice Requires="x14">
            <control shapeId="1398" r:id="rId131" name="Option Button 374">
              <controlPr defaultSize="0" autoFill="0" autoLine="0" autoPict="0">
                <anchor moveWithCells="1">
                  <from>
                    <xdr:col>4</xdr:col>
                    <xdr:colOff>85725</xdr:colOff>
                    <xdr:row>86</xdr:row>
                    <xdr:rowOff>171450</xdr:rowOff>
                  </from>
                  <to>
                    <xdr:col>4</xdr:col>
                    <xdr:colOff>2590800</xdr:colOff>
                    <xdr:row>88</xdr:row>
                    <xdr:rowOff>9525</xdr:rowOff>
                  </to>
                </anchor>
              </controlPr>
            </control>
          </mc:Choice>
        </mc:AlternateContent>
        <mc:AlternateContent xmlns:mc="http://schemas.openxmlformats.org/markup-compatibility/2006">
          <mc:Choice Requires="x14">
            <control shapeId="1399" r:id="rId132" name="Option Button 375">
              <controlPr defaultSize="0" autoFill="0" autoLine="0" autoPict="0">
                <anchor moveWithCells="1">
                  <from>
                    <xdr:col>4</xdr:col>
                    <xdr:colOff>85725</xdr:colOff>
                    <xdr:row>87</xdr:row>
                    <xdr:rowOff>171450</xdr:rowOff>
                  </from>
                  <to>
                    <xdr:col>4</xdr:col>
                    <xdr:colOff>2543175</xdr:colOff>
                    <xdr:row>89</xdr:row>
                    <xdr:rowOff>9525</xdr:rowOff>
                  </to>
                </anchor>
              </controlPr>
            </control>
          </mc:Choice>
        </mc:AlternateContent>
        <mc:AlternateContent xmlns:mc="http://schemas.openxmlformats.org/markup-compatibility/2006">
          <mc:Choice Requires="x14">
            <control shapeId="1401" r:id="rId133" name="Group Box 377">
              <controlPr defaultSize="0" autoFill="0" autoPict="0">
                <anchor moveWithCells="1">
                  <from>
                    <xdr:col>4</xdr:col>
                    <xdr:colOff>0</xdr:colOff>
                    <xdr:row>85</xdr:row>
                    <xdr:rowOff>0</xdr:rowOff>
                  </from>
                  <to>
                    <xdr:col>4</xdr:col>
                    <xdr:colOff>2695575</xdr:colOff>
                    <xdr:row>89</xdr:row>
                    <xdr:rowOff>57150</xdr:rowOff>
                  </to>
                </anchor>
              </controlPr>
            </control>
          </mc:Choice>
        </mc:AlternateContent>
        <mc:AlternateContent xmlns:mc="http://schemas.openxmlformats.org/markup-compatibility/2006">
          <mc:Choice Requires="x14">
            <control shapeId="1402" r:id="rId134" name="Option Button 378">
              <controlPr defaultSize="0" autoFill="0" autoLine="0" autoPict="0">
                <anchor moveWithCells="1">
                  <from>
                    <xdr:col>4</xdr:col>
                    <xdr:colOff>85725</xdr:colOff>
                    <xdr:row>91</xdr:row>
                    <xdr:rowOff>171450</xdr:rowOff>
                  </from>
                  <to>
                    <xdr:col>4</xdr:col>
                    <xdr:colOff>2400300</xdr:colOff>
                    <xdr:row>93</xdr:row>
                    <xdr:rowOff>9525</xdr:rowOff>
                  </to>
                </anchor>
              </controlPr>
            </control>
          </mc:Choice>
        </mc:AlternateContent>
        <mc:AlternateContent xmlns:mc="http://schemas.openxmlformats.org/markup-compatibility/2006">
          <mc:Choice Requires="x14">
            <control shapeId="1403" r:id="rId135" name="Option Button 379">
              <controlPr defaultSize="0" autoFill="0" autoLine="0" autoPict="0">
                <anchor moveWithCells="1">
                  <from>
                    <xdr:col>4</xdr:col>
                    <xdr:colOff>85725</xdr:colOff>
                    <xdr:row>92</xdr:row>
                    <xdr:rowOff>171450</xdr:rowOff>
                  </from>
                  <to>
                    <xdr:col>4</xdr:col>
                    <xdr:colOff>2571750</xdr:colOff>
                    <xdr:row>94</xdr:row>
                    <xdr:rowOff>9525</xdr:rowOff>
                  </to>
                </anchor>
              </controlPr>
            </control>
          </mc:Choice>
        </mc:AlternateContent>
        <mc:AlternateContent xmlns:mc="http://schemas.openxmlformats.org/markup-compatibility/2006">
          <mc:Choice Requires="x14">
            <control shapeId="1404" r:id="rId136" name="Option Button 380">
              <controlPr defaultSize="0" autoFill="0" autoLine="0" autoPict="0">
                <anchor moveWithCells="1">
                  <from>
                    <xdr:col>4</xdr:col>
                    <xdr:colOff>85725</xdr:colOff>
                    <xdr:row>93</xdr:row>
                    <xdr:rowOff>171450</xdr:rowOff>
                  </from>
                  <to>
                    <xdr:col>4</xdr:col>
                    <xdr:colOff>2495550</xdr:colOff>
                    <xdr:row>95</xdr:row>
                    <xdr:rowOff>9525</xdr:rowOff>
                  </to>
                </anchor>
              </controlPr>
            </control>
          </mc:Choice>
        </mc:AlternateContent>
        <mc:AlternateContent xmlns:mc="http://schemas.openxmlformats.org/markup-compatibility/2006">
          <mc:Choice Requires="x14">
            <control shapeId="1408" r:id="rId137" name="Group Box 384">
              <controlPr defaultSize="0" autoFill="0" autoPict="0">
                <anchor moveWithCells="1">
                  <from>
                    <xdr:col>4</xdr:col>
                    <xdr:colOff>9525</xdr:colOff>
                    <xdr:row>91</xdr:row>
                    <xdr:rowOff>0</xdr:rowOff>
                  </from>
                  <to>
                    <xdr:col>4</xdr:col>
                    <xdr:colOff>2705100</xdr:colOff>
                    <xdr:row>95</xdr:row>
                    <xdr:rowOff>57150</xdr:rowOff>
                  </to>
                </anchor>
              </controlPr>
            </control>
          </mc:Choice>
        </mc:AlternateContent>
        <mc:AlternateContent xmlns:mc="http://schemas.openxmlformats.org/markup-compatibility/2006">
          <mc:Choice Requires="x14">
            <control shapeId="1409" r:id="rId138" name="Option Button 385">
              <controlPr defaultSize="0" autoFill="0" autoLine="0" autoPict="0">
                <anchor moveWithCells="1">
                  <from>
                    <xdr:col>4</xdr:col>
                    <xdr:colOff>95250</xdr:colOff>
                    <xdr:row>97</xdr:row>
                    <xdr:rowOff>180975</xdr:rowOff>
                  </from>
                  <to>
                    <xdr:col>4</xdr:col>
                    <xdr:colOff>2552700</xdr:colOff>
                    <xdr:row>99</xdr:row>
                    <xdr:rowOff>19050</xdr:rowOff>
                  </to>
                </anchor>
              </controlPr>
            </control>
          </mc:Choice>
        </mc:AlternateContent>
        <mc:AlternateContent xmlns:mc="http://schemas.openxmlformats.org/markup-compatibility/2006">
          <mc:Choice Requires="x14">
            <control shapeId="1410" r:id="rId139" name="Option Button 386">
              <controlPr defaultSize="0" autoFill="0" autoLine="0" autoPict="0">
                <anchor moveWithCells="1">
                  <from>
                    <xdr:col>4</xdr:col>
                    <xdr:colOff>95250</xdr:colOff>
                    <xdr:row>98</xdr:row>
                    <xdr:rowOff>180975</xdr:rowOff>
                  </from>
                  <to>
                    <xdr:col>4</xdr:col>
                    <xdr:colOff>2619375</xdr:colOff>
                    <xdr:row>100</xdr:row>
                    <xdr:rowOff>19050</xdr:rowOff>
                  </to>
                </anchor>
              </controlPr>
            </control>
          </mc:Choice>
        </mc:AlternateContent>
        <mc:AlternateContent xmlns:mc="http://schemas.openxmlformats.org/markup-compatibility/2006">
          <mc:Choice Requires="x14">
            <control shapeId="1411" r:id="rId140" name="Option Button 387">
              <controlPr defaultSize="0" autoFill="0" autoLine="0" autoPict="0">
                <anchor moveWithCells="1">
                  <from>
                    <xdr:col>4</xdr:col>
                    <xdr:colOff>95250</xdr:colOff>
                    <xdr:row>99</xdr:row>
                    <xdr:rowOff>180975</xdr:rowOff>
                  </from>
                  <to>
                    <xdr:col>4</xdr:col>
                    <xdr:colOff>2609850</xdr:colOff>
                    <xdr:row>101</xdr:row>
                    <xdr:rowOff>19050</xdr:rowOff>
                  </to>
                </anchor>
              </controlPr>
            </control>
          </mc:Choice>
        </mc:AlternateContent>
        <mc:AlternateContent xmlns:mc="http://schemas.openxmlformats.org/markup-compatibility/2006">
          <mc:Choice Requires="x14">
            <control shapeId="1413" r:id="rId141" name="Group Box 389">
              <controlPr defaultSize="0" autoFill="0" autoPict="0">
                <anchor moveWithCells="1">
                  <from>
                    <xdr:col>4</xdr:col>
                    <xdr:colOff>0</xdr:colOff>
                    <xdr:row>97</xdr:row>
                    <xdr:rowOff>0</xdr:rowOff>
                  </from>
                  <to>
                    <xdr:col>4</xdr:col>
                    <xdr:colOff>2695575</xdr:colOff>
                    <xdr:row>101</xdr:row>
                    <xdr:rowOff>57150</xdr:rowOff>
                  </to>
                </anchor>
              </controlPr>
            </control>
          </mc:Choice>
        </mc:AlternateContent>
        <mc:AlternateContent xmlns:mc="http://schemas.openxmlformats.org/markup-compatibility/2006">
          <mc:Choice Requires="x14">
            <control shapeId="1414" r:id="rId142" name="Check Box 390">
              <controlPr defaultSize="0" autoFill="0" autoLine="0" autoPict="0" altText="Biobased">
                <anchor moveWithCells="1">
                  <from>
                    <xdr:col>2</xdr:col>
                    <xdr:colOff>0</xdr:colOff>
                    <xdr:row>52</xdr:row>
                    <xdr:rowOff>171450</xdr:rowOff>
                  </from>
                  <to>
                    <xdr:col>4</xdr:col>
                    <xdr:colOff>323850</xdr:colOff>
                    <xdr:row>54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xWindow="553" yWindow="563" count="1">
        <x14:dataValidation type="whole" allowBlank="1" showInputMessage="1" showErrorMessage="1" errorTitle="Onjuiste invoerwaarde" error="Het ingevulde vermogen bedraagt niet een geheel aantal kW of ligt niet tussen de vermogensgrenzen van de gekozen categorie." promptTitle="Vermogen" xr:uid="{B755E0A8-59C5-4096-A79D-8CA02B8F994E}">
          <x14:formula1>
            <xm:f>Hulpblad!C119</xm:f>
          </x14:formula1>
          <x14:formula2>
            <xm:f>Hulpblad!C120</xm:f>
          </x14:formula2>
          <xm:sqref>C132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846A6-9020-4006-A279-D1FEA64A9C9A}">
  <sheetPr>
    <pageSetUpPr fitToPage="1"/>
  </sheetPr>
  <dimension ref="A1:F28"/>
  <sheetViews>
    <sheetView workbookViewId="0">
      <selection activeCell="D27" sqref="D27"/>
    </sheetView>
  </sheetViews>
  <sheetFormatPr defaultRowHeight="15"/>
  <cols>
    <col min="1" max="1" width="55.42578125" style="119" customWidth="1"/>
    <col min="2" max="3" width="40.7109375" style="119" customWidth="1"/>
    <col min="4" max="4" width="12.5703125" style="119" customWidth="1"/>
    <col min="5" max="16384" width="9.140625" style="119"/>
  </cols>
  <sheetData>
    <row r="1" spans="1:3" ht="26.25">
      <c r="A1" s="120" t="s">
        <v>281</v>
      </c>
    </row>
    <row r="2" spans="1:3" ht="26.25">
      <c r="A2" s="120"/>
    </row>
    <row r="4" spans="1:3" ht="15.75">
      <c r="A4" s="139" t="s">
        <v>287</v>
      </c>
      <c r="B4" s="141" t="s">
        <v>282</v>
      </c>
      <c r="C4" s="141" t="s">
        <v>296</v>
      </c>
    </row>
    <row r="5" spans="1:3" ht="20.100000000000001" customHeight="1">
      <c r="A5" s="127" t="s">
        <v>283</v>
      </c>
      <c r="B5" s="131">
        <f>'Keuzeblad maatregelen'!M28</f>
        <v>0</v>
      </c>
      <c r="C5" s="132">
        <f>'Keuzeblad maatregelen'!O28+'Keuzeblad maatregelen'!O54</f>
        <v>0</v>
      </c>
    </row>
    <row r="6" spans="1:3" ht="20.100000000000001" customHeight="1">
      <c r="A6" s="128" t="s">
        <v>284</v>
      </c>
      <c r="B6" s="128">
        <f>'Keuzeblad maatregelen'!M34</f>
        <v>0</v>
      </c>
      <c r="C6" s="133">
        <f>'Keuzeblad maatregelen'!O34+'Keuzeblad maatregelen'!O56</f>
        <v>0</v>
      </c>
    </row>
    <row r="7" spans="1:3" ht="20.100000000000001" customHeight="1">
      <c r="A7" s="128" t="s">
        <v>285</v>
      </c>
      <c r="B7" s="128">
        <f>'Keuzeblad maatregelen'!M40</f>
        <v>0</v>
      </c>
      <c r="C7" s="133">
        <f>'Keuzeblad maatregelen'!O40+'Keuzeblad maatregelen'!O58</f>
        <v>0</v>
      </c>
    </row>
    <row r="8" spans="1:3" ht="20.100000000000001" customHeight="1">
      <c r="A8" s="129" t="s">
        <v>286</v>
      </c>
      <c r="B8" s="129">
        <f>'Keuzeblad maatregelen'!K46</f>
        <v>0</v>
      </c>
      <c r="C8" s="134">
        <f>'Keuzeblad maatregelen'!O46+'Keuzeblad maatregelen'!O60</f>
        <v>0</v>
      </c>
    </row>
    <row r="9" spans="1:3" ht="20.100000000000001" customHeight="1">
      <c r="A9" s="130"/>
      <c r="B9" s="130"/>
      <c r="C9" s="136"/>
    </row>
    <row r="10" spans="1:3" ht="20.100000000000001" customHeight="1">
      <c r="A10" s="140" t="s">
        <v>293</v>
      </c>
      <c r="B10" s="141" t="s">
        <v>282</v>
      </c>
      <c r="C10" s="141"/>
    </row>
    <row r="11" spans="1:3" ht="20.100000000000001" customHeight="1">
      <c r="A11" s="127" t="s">
        <v>288</v>
      </c>
      <c r="B11" s="127">
        <f>'Keuzeblad maatregelen'!M68</f>
        <v>0</v>
      </c>
      <c r="C11" s="132">
        <f>'Keuzeblad maatregelen'!O68</f>
        <v>0</v>
      </c>
    </row>
    <row r="12" spans="1:3" ht="20.100000000000001" customHeight="1">
      <c r="A12" s="128" t="s">
        <v>289</v>
      </c>
      <c r="B12" s="128">
        <f>'Keuzeblad maatregelen'!M74</f>
        <v>0</v>
      </c>
      <c r="C12" s="133">
        <f>'Keuzeblad maatregelen'!O74</f>
        <v>0</v>
      </c>
    </row>
    <row r="13" spans="1:3" ht="20.100000000000001" customHeight="1">
      <c r="A13" s="130" t="s">
        <v>305</v>
      </c>
      <c r="B13" s="130">
        <f>'Keuzeblad maatregelen'!M80</f>
        <v>0</v>
      </c>
      <c r="C13" s="136">
        <f>'Keuzeblad maatregelen'!O80</f>
        <v>0</v>
      </c>
    </row>
    <row r="14" spans="1:3" ht="20.100000000000001" customHeight="1">
      <c r="A14" s="128" t="s">
        <v>290</v>
      </c>
      <c r="B14" s="128">
        <f>'Keuzeblad maatregelen'!M86</f>
        <v>0</v>
      </c>
      <c r="C14" s="133">
        <f>'Keuzeblad maatregelen'!O86</f>
        <v>0</v>
      </c>
    </row>
    <row r="15" spans="1:3" ht="20.100000000000001" customHeight="1">
      <c r="A15" s="129" t="s">
        <v>306</v>
      </c>
      <c r="B15" s="129">
        <f>'Keuzeblad maatregelen'!M92</f>
        <v>0</v>
      </c>
      <c r="C15" s="134">
        <f>'Keuzeblad maatregelen'!O92</f>
        <v>0</v>
      </c>
    </row>
    <row r="16" spans="1:3" ht="20.100000000000001" customHeight="1">
      <c r="A16" s="128" t="s">
        <v>307</v>
      </c>
      <c r="B16" s="128">
        <f>'Keuzeblad maatregelen'!M98</f>
        <v>0</v>
      </c>
      <c r="C16" s="133">
        <f>'Keuzeblad maatregelen'!O98</f>
        <v>0</v>
      </c>
    </row>
    <row r="17" spans="1:6">
      <c r="A17" s="118"/>
      <c r="B17" s="118"/>
      <c r="C17" s="118"/>
    </row>
    <row r="18" spans="1:6" ht="15.75">
      <c r="A18" s="139" t="s">
        <v>291</v>
      </c>
      <c r="B18" s="141" t="s">
        <v>297</v>
      </c>
      <c r="C18" s="141"/>
    </row>
    <row r="19" spans="1:6">
      <c r="A19" s="123" t="str">
        <f>"Warmtepomp "&amp;IF(Hulpblad!C100="Geen warmtepomp","",Hulpblad!C100)</f>
        <v xml:space="preserve">Warmtepomp </v>
      </c>
      <c r="B19" s="135" t="str">
        <f>IF('Keuzeblad maatregelen'!C132=0,"",'Keuzeblad maatregelen'!C132)</f>
        <v/>
      </c>
      <c r="C19" s="124">
        <f>'Keuzeblad maatregelen'!O110</f>
        <v>0</v>
      </c>
    </row>
    <row r="20" spans="1:6">
      <c r="A20" s="125"/>
      <c r="B20" s="142"/>
      <c r="C20" s="126"/>
    </row>
    <row r="21" spans="1:6" ht="15.75">
      <c r="A21" s="144" t="s">
        <v>9</v>
      </c>
      <c r="B21" s="143"/>
      <c r="C21" s="141"/>
    </row>
    <row r="22" spans="1:6">
      <c r="A22" s="123" t="str">
        <f>IF(Hulpblad!C128="Geen zonneboiler","Zonneboiler",Hulpblad!C128)</f>
        <v>Zonneboiler</v>
      </c>
      <c r="B22" s="123"/>
      <c r="C22" s="124">
        <f>'Keuzeblad maatregelen'!O137</f>
        <v>0</v>
      </c>
      <c r="D22" s="119" t="s">
        <v>295</v>
      </c>
    </row>
    <row r="23" spans="1:6">
      <c r="A23" s="118"/>
      <c r="B23" s="118"/>
      <c r="C23" s="121"/>
    </row>
    <row r="24" spans="1:6" ht="15.75">
      <c r="A24" s="144" t="s">
        <v>298</v>
      </c>
      <c r="B24" s="122"/>
      <c r="C24" s="141"/>
    </row>
    <row r="25" spans="1:6">
      <c r="A25" s="123" t="s">
        <v>292</v>
      </c>
      <c r="B25" s="123"/>
      <c r="C25" s="124">
        <f>'Keuzeblad maatregelen'!O149</f>
        <v>0</v>
      </c>
      <c r="F25" s="118"/>
    </row>
    <row r="26" spans="1:6">
      <c r="A26" s="123" t="s">
        <v>61</v>
      </c>
      <c r="B26" s="123"/>
      <c r="C26" s="124">
        <f>'Keuzeblad maatregelen'!O168</f>
        <v>0</v>
      </c>
    </row>
    <row r="28" spans="1:6" ht="23.25">
      <c r="A28" s="137" t="s">
        <v>294</v>
      </c>
      <c r="C28" s="138">
        <f>SUM(C5:C8)+SUM(C11:C16)+SUM(C19:C25)+C26</f>
        <v>0</v>
      </c>
    </row>
  </sheetData>
  <sheetProtection algorithmName="SHA-512" hashValue="CJZlYrGubka7GpIhW83YGoipYNq/kAkOA0akDH3Q7OmWUtnDlNgTZ8BB5KpTdOISCN9LCp9BPz3eHjogb7/C9w==" saltValue="GY7d3RkRQzoxvrd5s1c2pA==" spinCount="100000" sheet="1" objects="1" scenarios="1"/>
  <pageMargins left="0.7" right="0.7" top="0.75" bottom="0.75" header="0.3" footer="0.3"/>
  <pageSetup paperSize="9"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0C93C-DE4A-4407-AD38-FD14A8F368A5}">
  <dimension ref="A1:N335"/>
  <sheetViews>
    <sheetView topLeftCell="A56" zoomScale="75" zoomScaleNormal="75" workbookViewId="0">
      <selection activeCell="C87" sqref="C87"/>
    </sheetView>
  </sheetViews>
  <sheetFormatPr defaultRowHeight="15"/>
  <cols>
    <col min="2" max="2" width="74.42578125" customWidth="1"/>
    <col min="3" max="3" width="97.85546875" customWidth="1"/>
    <col min="4" max="4" width="58.42578125" customWidth="1"/>
    <col min="5" max="5" width="75.85546875" customWidth="1"/>
    <col min="6" max="6" width="70.85546875" customWidth="1"/>
    <col min="7" max="7" width="32.85546875" customWidth="1"/>
    <col min="8" max="8" width="44.28515625" customWidth="1"/>
    <col min="9" max="9" width="33.42578125" customWidth="1"/>
    <col min="10" max="10" width="30.7109375" customWidth="1"/>
    <col min="11" max="11" width="29.28515625" customWidth="1"/>
    <col min="12" max="12" width="30" customWidth="1"/>
    <col min="13" max="13" width="26.140625" customWidth="1"/>
    <col min="14" max="14" width="29.5703125" customWidth="1"/>
  </cols>
  <sheetData>
    <row r="1" spans="1:14" ht="18.75">
      <c r="A1" s="13" t="s">
        <v>72</v>
      </c>
      <c r="H1" s="43" t="s">
        <v>128</v>
      </c>
    </row>
    <row r="2" spans="1:14">
      <c r="M2" s="172" t="s">
        <v>89</v>
      </c>
    </row>
    <row r="3" spans="1:14">
      <c r="B3" s="1" t="s">
        <v>97</v>
      </c>
      <c r="E3" s="1"/>
      <c r="M3" s="172"/>
    </row>
    <row r="4" spans="1:14">
      <c r="B4" s="11">
        <v>1</v>
      </c>
      <c r="C4" s="11"/>
      <c r="M4" s="172"/>
    </row>
    <row r="5" spans="1:14">
      <c r="B5" s="7"/>
      <c r="M5" s="172"/>
    </row>
    <row r="6" spans="1:14">
      <c r="C6" s="47"/>
      <c r="E6" s="11"/>
      <c r="M6" s="172"/>
    </row>
    <row r="7" spans="1:14">
      <c r="M7" s="172"/>
      <c r="N7" s="174" t="s">
        <v>119</v>
      </c>
    </row>
    <row r="8" spans="1:14" ht="18.75" customHeight="1">
      <c r="B8" s="14" t="s">
        <v>3</v>
      </c>
      <c r="C8" s="2"/>
      <c r="D8" s="2"/>
      <c r="E8" s="2"/>
      <c r="F8" s="2"/>
      <c r="M8" s="172"/>
      <c r="N8" s="174"/>
    </row>
    <row r="9" spans="1:14">
      <c r="B9" s="10"/>
      <c r="C9" s="2"/>
      <c r="D9" s="2"/>
      <c r="E9" s="2"/>
      <c r="F9" s="2"/>
      <c r="M9" s="172"/>
      <c r="N9" s="174"/>
    </row>
    <row r="10" spans="1:14" ht="33.75" customHeight="1">
      <c r="B10" s="10" t="s">
        <v>73</v>
      </c>
      <c r="E10" s="1" t="s">
        <v>80</v>
      </c>
      <c r="F10" s="10" t="s">
        <v>83</v>
      </c>
      <c r="G10" s="1" t="s">
        <v>77</v>
      </c>
      <c r="H10" s="1" t="s">
        <v>78</v>
      </c>
      <c r="I10" s="45" t="s">
        <v>130</v>
      </c>
      <c r="J10" s="48" t="s">
        <v>131</v>
      </c>
      <c r="K10" s="49" t="s">
        <v>129</v>
      </c>
      <c r="L10" s="10" t="s">
        <v>88</v>
      </c>
      <c r="M10" s="172"/>
      <c r="N10" s="174"/>
    </row>
    <row r="11" spans="1:14">
      <c r="A11">
        <v>1</v>
      </c>
      <c r="B11" t="s">
        <v>55</v>
      </c>
      <c r="D11">
        <v>1</v>
      </c>
      <c r="E11" t="s">
        <v>63</v>
      </c>
      <c r="G11" s="3"/>
      <c r="H11" s="3"/>
      <c r="I11" s="3">
        <v>0</v>
      </c>
      <c r="J11" s="7">
        <v>0</v>
      </c>
      <c r="K11" s="7">
        <f>IF($F$14="Op of ná 1 januari 2024",J11,
IF($F$14="Vóór 1 januari 2024 én ≤ 24 maanden geleden",I11,0))</f>
        <v>0</v>
      </c>
      <c r="L11" s="50">
        <f>IF(AND($C$85=1,$E$14=1),0,
IF(AND($C$85=1,$E$14=2),1,
IF(AND($C$85=1,$E$14=3),1,
IF($C$85&gt;1,2,0))))</f>
        <v>0</v>
      </c>
      <c r="M11" s="2">
        <f>K11*L11</f>
        <v>0</v>
      </c>
      <c r="N11">
        <v>0</v>
      </c>
    </row>
    <row r="12" spans="1:14">
      <c r="A12">
        <v>2</v>
      </c>
      <c r="B12" s="3" t="str">
        <f>C163</f>
        <v>Dakisolatie, Rd ≥ 3,5 m2 K/W</v>
      </c>
      <c r="D12">
        <v>2</v>
      </c>
      <c r="E12" t="s">
        <v>313</v>
      </c>
      <c r="G12" s="3">
        <v>20</v>
      </c>
      <c r="H12" s="3">
        <v>200</v>
      </c>
      <c r="I12" s="3">
        <v>15</v>
      </c>
      <c r="J12" s="7">
        <v>15</v>
      </c>
      <c r="K12" s="7">
        <f>IF($F$14="Op of ná 1 januari 2024",J12,
IF($F$14="Vóór 1 januari 2024 én ≤ 24 maanden geleden",I12,0))</f>
        <v>0</v>
      </c>
      <c r="L12" s="50">
        <f>IF(AND($C$85=1,$E$14=1),0,
IF(AND($C$85=1,$E$14=2),1,
IF(AND($C$85=1,$E$14=3),1,
IF($C$85&gt;1,2,0))))</f>
        <v>0</v>
      </c>
      <c r="M12" s="2">
        <f t="shared" ref="M12:M28" si="0">K12*L12</f>
        <v>0</v>
      </c>
      <c r="N12">
        <f>IF($F$14="Op of ná 1 januari 2024",H163,0)</f>
        <v>0</v>
      </c>
    </row>
    <row r="13" spans="1:14">
      <c r="A13">
        <v>3</v>
      </c>
      <c r="B13" t="str">
        <f>C164</f>
        <v>Zolder-of vlieringisolatie, Rd ≥ 3,5 m2 K/W</v>
      </c>
      <c r="D13">
        <v>3</v>
      </c>
      <c r="E13" t="s">
        <v>133</v>
      </c>
      <c r="G13" s="3">
        <v>20</v>
      </c>
      <c r="H13" s="3">
        <v>130</v>
      </c>
      <c r="I13" s="3">
        <v>4</v>
      </c>
      <c r="J13" s="7">
        <v>4</v>
      </c>
      <c r="K13" s="7">
        <f>IF($F$14="Op of ná 1 januari 2024",J13,
IF($F$14="Vóór 1 januari 2024 én ≤ 24 maanden geleden",I13,0))</f>
        <v>0</v>
      </c>
      <c r="L13" s="50">
        <f>IF(AND($C$85=1,$E$14=1),0,
IF(AND($C$85=1,$E$14=2),1,
IF(AND($C$85=1,$E$14=3),1,
IF($C$85&gt;1,2,0))))</f>
        <v>0</v>
      </c>
      <c r="M13" s="2">
        <f t="shared" si="0"/>
        <v>0</v>
      </c>
      <c r="N13">
        <f>IF($F$14="Op of ná 1 januari 2024",H164,0)</f>
        <v>0</v>
      </c>
    </row>
    <row r="14" spans="1:14">
      <c r="B14" s="11">
        <v>1</v>
      </c>
      <c r="C14" s="11" t="str">
        <f>VLOOKUP(B14,A11:B13,2,FALSE)</f>
        <v>Geen dakisolatie</v>
      </c>
      <c r="E14" s="11">
        <v>1</v>
      </c>
      <c r="F14" s="11" t="str">
        <f>VLOOKUP(E14,D11:E14,2,FALSE)</f>
        <v>Niet van toepassing</v>
      </c>
      <c r="G14" s="2">
        <v>20</v>
      </c>
      <c r="H14" s="11">
        <f>IF(C14="Dakisolatie, Rd ≥ 3,5 m2 K/W",200,130)</f>
        <v>130</v>
      </c>
      <c r="I14" s="3"/>
      <c r="J14" s="7"/>
      <c r="K14" s="7"/>
      <c r="L14" s="50"/>
      <c r="M14" s="2"/>
    </row>
    <row r="15" spans="1:14">
      <c r="B15" s="10" t="s">
        <v>74</v>
      </c>
      <c r="E15" s="1" t="s">
        <v>80</v>
      </c>
      <c r="G15" s="3"/>
      <c r="H15" s="3"/>
      <c r="I15" s="3"/>
      <c r="J15" s="7"/>
      <c r="K15" s="7"/>
      <c r="L15" s="50"/>
      <c r="M15" s="2"/>
    </row>
    <row r="16" spans="1:14">
      <c r="A16">
        <v>1</v>
      </c>
      <c r="B16" s="3" t="s">
        <v>56</v>
      </c>
      <c r="C16" s="3"/>
      <c r="D16">
        <v>1</v>
      </c>
      <c r="E16" t="s">
        <v>63</v>
      </c>
      <c r="G16" s="3"/>
      <c r="H16" s="3"/>
      <c r="I16" s="3">
        <v>0</v>
      </c>
      <c r="J16" s="7">
        <v>0</v>
      </c>
      <c r="K16" s="7">
        <f>IF($F$19="Op of ná 1 januari 2024",J16,
IF($F$19="Vóór 1 januari 2024 én ≤ 24 maanden geleden",I16,0))</f>
        <v>0</v>
      </c>
      <c r="L16" s="50">
        <f>IF(AND($C$85=1,$E$19=1),0,
IF(AND($C$85=1,$E$19=2),1,
IF(AND($C$85=1,$E$19=3),1,
IF($C$85&gt;1,2,0))))</f>
        <v>0</v>
      </c>
      <c r="M16" s="2">
        <f t="shared" si="0"/>
        <v>0</v>
      </c>
      <c r="N16">
        <v>0</v>
      </c>
    </row>
    <row r="17" spans="1:14">
      <c r="A17">
        <v>2</v>
      </c>
      <c r="B17" s="3" t="str">
        <f>C165</f>
        <v>Binnen-of buitengevelisolatie, Rd ≥ 3,5m2 K/W</v>
      </c>
      <c r="C17" s="3"/>
      <c r="D17">
        <v>2</v>
      </c>
      <c r="E17" t="s">
        <v>313</v>
      </c>
      <c r="G17" s="3">
        <v>10</v>
      </c>
      <c r="H17" s="3">
        <v>170</v>
      </c>
      <c r="I17" s="3">
        <v>19</v>
      </c>
      <c r="J17" s="7">
        <v>19</v>
      </c>
      <c r="K17" s="7">
        <f>IF($F$19="Op of ná 1 januari 2024",J17,
IF($F$19="Vóór 1 januari 2024 én ≤ 24 maanden geleden",I17,0))</f>
        <v>0</v>
      </c>
      <c r="L17" s="50">
        <f>IF(AND($C$85=1,$E$19=1),0,
IF(AND($C$85=1,$E$19=2),1,
IF(AND($C$85=1,$E$19=3),1,
IF($C$85&gt;1,2,0))))</f>
        <v>0</v>
      </c>
      <c r="M17" s="2">
        <f t="shared" si="0"/>
        <v>0</v>
      </c>
      <c r="N17">
        <f>IF($F$19="Op of ná 1 januari 2024",H165,0)</f>
        <v>0</v>
      </c>
    </row>
    <row r="18" spans="1:14">
      <c r="B18" s="11">
        <v>1</v>
      </c>
      <c r="C18" s="11" t="str">
        <f>VLOOKUP(B18,A16:B17,2,FALSE)</f>
        <v>Geen gevelisolatie</v>
      </c>
      <c r="D18">
        <v>3</v>
      </c>
      <c r="E18" t="s">
        <v>133</v>
      </c>
      <c r="G18" s="3"/>
      <c r="H18" s="3"/>
      <c r="I18" s="3"/>
      <c r="J18" s="7"/>
      <c r="K18" s="7"/>
      <c r="L18" s="50"/>
      <c r="M18" s="2"/>
    </row>
    <row r="19" spans="1:14">
      <c r="B19" s="11"/>
      <c r="C19" s="11"/>
      <c r="E19" s="11">
        <v>1</v>
      </c>
      <c r="F19" s="11" t="str">
        <f>VLOOKUP(E19,D16:E19,2,FALSE)</f>
        <v>Niet van toepassing</v>
      </c>
      <c r="G19" s="3"/>
      <c r="H19" s="3"/>
      <c r="I19" s="3"/>
      <c r="J19" s="7"/>
      <c r="K19" s="7"/>
      <c r="L19" s="50"/>
      <c r="M19" s="2"/>
    </row>
    <row r="20" spans="1:14">
      <c r="B20" s="10" t="s">
        <v>75</v>
      </c>
      <c r="E20" s="1" t="s">
        <v>80</v>
      </c>
      <c r="G20" s="3"/>
      <c r="H20" s="3"/>
      <c r="I20" s="3"/>
      <c r="J20" s="7"/>
      <c r="K20" s="7"/>
      <c r="L20" s="50"/>
      <c r="M20" s="2"/>
    </row>
    <row r="21" spans="1:14">
      <c r="A21">
        <v>1</v>
      </c>
      <c r="B21" s="3" t="s">
        <v>57</v>
      </c>
      <c r="C21" s="3"/>
      <c r="D21">
        <v>1</v>
      </c>
      <c r="E21" t="s">
        <v>63</v>
      </c>
      <c r="G21" s="3"/>
      <c r="H21" s="3"/>
      <c r="I21" s="3">
        <v>0</v>
      </c>
      <c r="J21" s="7">
        <v>0</v>
      </c>
      <c r="K21" s="7">
        <f>IF($F$24="Op of ná 1 januari 2024",J21,
IF($F$24="Vóór 1 januari 2024 én ≤ 24 maanden geleden",I21,0))</f>
        <v>0</v>
      </c>
      <c r="L21" s="50">
        <f>IF(AND($C$85=1,$E$24=1),0,
IF(AND($C$85=1,$E$24=2),1,
IF(AND($C$85=1,$E$24=3),1,
IF($C$85&gt;1,2,0))))</f>
        <v>0</v>
      </c>
      <c r="M21" s="2">
        <f t="shared" si="0"/>
        <v>0</v>
      </c>
      <c r="N21">
        <f>IF($F$19="Op of ná 1 januari 2024",H170,0)</f>
        <v>0</v>
      </c>
    </row>
    <row r="22" spans="1:14">
      <c r="A22">
        <v>2</v>
      </c>
      <c r="B22" s="3" t="str">
        <f>C166</f>
        <v>Spouwmuurisolatie, Rd ≥ 1,1 m2 K/W</v>
      </c>
      <c r="C22" s="3"/>
      <c r="D22">
        <v>2</v>
      </c>
      <c r="E22" t="s">
        <v>313</v>
      </c>
      <c r="G22" s="3">
        <v>10</v>
      </c>
      <c r="H22" s="3">
        <v>170</v>
      </c>
      <c r="I22" s="3">
        <v>4</v>
      </c>
      <c r="J22" s="7">
        <v>4</v>
      </c>
      <c r="K22" s="7">
        <f>IF($F$24="Op of ná 1 januari 2024",J22,
IF($F$24="Vóór 1 januari 2024 én ≤ 24 maanden geleden",I22,0))</f>
        <v>0</v>
      </c>
      <c r="L22" s="50">
        <f>IF(AND($C$85=1,$E$24=1),0,
IF(AND($C$85=1,$E$24=2),1,
IF(AND($C$85=1,$E$24=3),1,
IF($C$85&gt;1,2,0))))</f>
        <v>0</v>
      </c>
      <c r="M22" s="2">
        <f t="shared" si="0"/>
        <v>0</v>
      </c>
      <c r="N22">
        <f>IF($F$24="Op of ná 1 januari 2024",H166,0)</f>
        <v>0</v>
      </c>
    </row>
    <row r="23" spans="1:14">
      <c r="B23" s="11">
        <v>1</v>
      </c>
      <c r="C23" s="11" t="str">
        <f>VLOOKUP(B23,A21:B22,2,FALSE)</f>
        <v>Geen spouwmuurisolatie</v>
      </c>
      <c r="D23">
        <v>3</v>
      </c>
      <c r="E23" t="s">
        <v>133</v>
      </c>
      <c r="G23" s="3"/>
      <c r="H23" s="3"/>
      <c r="I23" s="3"/>
      <c r="J23" s="7"/>
      <c r="K23" s="7"/>
      <c r="L23" s="50"/>
      <c r="M23" s="2"/>
    </row>
    <row r="24" spans="1:14">
      <c r="B24" s="11"/>
      <c r="C24" s="11"/>
      <c r="E24" s="11">
        <v>1</v>
      </c>
      <c r="F24" s="11" t="str">
        <f>VLOOKUP(E24,D21:E24,2,FALSE)</f>
        <v>Niet van toepassing</v>
      </c>
      <c r="G24" s="3"/>
      <c r="H24" s="3"/>
      <c r="I24" s="3"/>
      <c r="J24" s="7"/>
      <c r="K24" s="7"/>
      <c r="L24" s="50"/>
      <c r="M24" s="2"/>
    </row>
    <row r="25" spans="1:14">
      <c r="B25" s="10" t="s">
        <v>76</v>
      </c>
      <c r="E25" s="1" t="s">
        <v>80</v>
      </c>
      <c r="G25" s="3"/>
      <c r="H25" s="3"/>
      <c r="I25" s="3"/>
      <c r="J25" s="7"/>
      <c r="K25" s="7"/>
      <c r="L25" s="50"/>
      <c r="M25" s="2"/>
    </row>
    <row r="26" spans="1:14">
      <c r="A26">
        <v>1</v>
      </c>
      <c r="B26" s="3" t="s">
        <v>58</v>
      </c>
      <c r="C26" s="3"/>
      <c r="D26">
        <v>1</v>
      </c>
      <c r="E26" t="s">
        <v>63</v>
      </c>
      <c r="G26" s="3"/>
      <c r="H26" s="3"/>
      <c r="I26" s="3">
        <v>0</v>
      </c>
      <c r="J26" s="7">
        <v>0</v>
      </c>
      <c r="K26" s="7">
        <f>IF($F$29="Op of ná 1 januari 2024",J26,
IF($F$29="Vóór 1 januari 2024 én ≤ 24 maanden geleden",I26,0))</f>
        <v>0</v>
      </c>
      <c r="L26" s="50">
        <f>IF(AND($C$85=1,$E$29=1),0,
IF(AND($C$85=1,$E$29=2),1,
IF(AND($C$85=1,$E$29=3),1,
IF($C$85&gt;1,2,0))))</f>
        <v>0</v>
      </c>
      <c r="M26" s="2">
        <f t="shared" si="0"/>
        <v>0</v>
      </c>
      <c r="N26">
        <v>0</v>
      </c>
    </row>
    <row r="27" spans="1:14">
      <c r="A27">
        <v>2</v>
      </c>
      <c r="B27" s="3" t="str">
        <f>C167</f>
        <v>Vloerisolatie, Rd ≥ 3,5m2 K/W</v>
      </c>
      <c r="C27" s="3"/>
      <c r="D27">
        <v>2</v>
      </c>
      <c r="E27" t="s">
        <v>313</v>
      </c>
      <c r="G27" s="3">
        <v>20</v>
      </c>
      <c r="H27" s="3">
        <v>130</v>
      </c>
      <c r="I27" s="3">
        <v>5.5</v>
      </c>
      <c r="J27" s="7">
        <v>5.5</v>
      </c>
      <c r="K27" s="7">
        <f>IF($F$29="Op of ná 1 januari 2024",J27,
IF($F$29="Vóór 1 januari 2024 én ≤ 24 maanden geleden",I27,0))</f>
        <v>0</v>
      </c>
      <c r="L27" s="50">
        <f>IF(AND($C$85=1,$E$29=1),0,
IF(AND($C$85=1,$E$29=2),1,
IF(AND($C$85=1,$E$29=3),1,
IF($C$85&gt;1,2,0))))</f>
        <v>0</v>
      </c>
      <c r="M27" s="2">
        <f t="shared" si="0"/>
        <v>0</v>
      </c>
      <c r="N27">
        <f>IF($F$29="Op of ná 1 januari 2024",H167,0)</f>
        <v>0</v>
      </c>
    </row>
    <row r="28" spans="1:14">
      <c r="A28">
        <v>3</v>
      </c>
      <c r="B28" s="3" t="str">
        <f>C168</f>
        <v>Bodemisolatie, Rd ≥ 3,5m2 K/W</v>
      </c>
      <c r="C28" s="3"/>
      <c r="D28">
        <v>3</v>
      </c>
      <c r="E28" t="s">
        <v>133</v>
      </c>
      <c r="G28" s="3">
        <v>20</v>
      </c>
      <c r="H28" s="3">
        <v>130</v>
      </c>
      <c r="I28" s="44">
        <v>3</v>
      </c>
      <c r="J28" s="7">
        <v>3</v>
      </c>
      <c r="K28" s="7">
        <f>IF($F$29="Op of ná 1 januari 2024",J28,
IF($F$29="Vóór 1 januari 2024 én ≤ 24 maanden geleden",I28,0))</f>
        <v>0</v>
      </c>
      <c r="L28" s="50">
        <f>IF(AND($C$85=1,$E$29=1),0,
IF(AND($C$85=1,$E$29=2),1,
IF(AND($C$85=1,$E$29=3),1,
IF($C$85&gt;1,2,0))))</f>
        <v>0</v>
      </c>
      <c r="M28" s="2">
        <f t="shared" si="0"/>
        <v>0</v>
      </c>
      <c r="N28">
        <f>IF($F$29="Op of ná 1 januari 2024",H168,0)</f>
        <v>0</v>
      </c>
    </row>
    <row r="29" spans="1:14">
      <c r="B29" s="11">
        <v>1</v>
      </c>
      <c r="C29" s="11" t="str">
        <f>VLOOKUP(B29,A26:B28,2,FALSE)</f>
        <v>Geen vloerisolatie</v>
      </c>
      <c r="E29" s="11">
        <v>1</v>
      </c>
      <c r="F29" s="11" t="str">
        <f>VLOOKUP(E29,D26:E29,2,FALSE)</f>
        <v>Niet van toepassing</v>
      </c>
      <c r="G29" s="3"/>
      <c r="H29" s="3"/>
      <c r="I29" s="44"/>
      <c r="J29" s="7"/>
      <c r="K29" s="7"/>
      <c r="L29" s="50"/>
      <c r="M29" s="2"/>
    </row>
    <row r="30" spans="1:14">
      <c r="D30" s="2"/>
    </row>
    <row r="31" spans="1:14">
      <c r="B31" s="10" t="s">
        <v>122</v>
      </c>
      <c r="C31" s="11"/>
      <c r="D31" s="2"/>
      <c r="E31" s="2"/>
      <c r="F31" s="2"/>
    </row>
    <row r="32" spans="1:14">
      <c r="B32" t="b">
        <v>0</v>
      </c>
      <c r="C32" s="11" t="s">
        <v>123</v>
      </c>
      <c r="D32" s="2"/>
      <c r="E32" s="2"/>
      <c r="F32" s="2"/>
    </row>
    <row r="33" spans="1:13">
      <c r="B33" t="b">
        <v>0</v>
      </c>
      <c r="C33" s="11" t="s">
        <v>124</v>
      </c>
      <c r="D33" s="2"/>
      <c r="E33" s="2"/>
      <c r="F33" s="2"/>
    </row>
    <row r="34" spans="1:13">
      <c r="B34" t="b">
        <v>0</v>
      </c>
      <c r="C34" s="11" t="s">
        <v>125</v>
      </c>
      <c r="D34" s="2"/>
      <c r="E34" s="2"/>
      <c r="F34" s="2"/>
    </row>
    <row r="35" spans="1:13">
      <c r="B35" t="b">
        <v>0</v>
      </c>
      <c r="C35" s="11" t="s">
        <v>126</v>
      </c>
      <c r="D35" s="2"/>
      <c r="E35" s="2"/>
      <c r="F35" s="2"/>
    </row>
    <row r="36" spans="1:13">
      <c r="B36" s="3"/>
      <c r="C36" s="3"/>
      <c r="D36" s="2"/>
      <c r="E36" s="2"/>
      <c r="F36" s="2"/>
    </row>
    <row r="37" spans="1:13">
      <c r="B37" s="10" t="s">
        <v>7</v>
      </c>
      <c r="C37" s="3"/>
      <c r="F37" s="2"/>
    </row>
    <row r="38" spans="1:13" ht="15" customHeight="1">
      <c r="A38">
        <v>1</v>
      </c>
      <c r="B38" s="3" t="s">
        <v>59</v>
      </c>
      <c r="C38" s="3"/>
      <c r="E38" s="3"/>
      <c r="F38" s="3"/>
      <c r="G38" s="2"/>
      <c r="M38" s="173" t="s">
        <v>89</v>
      </c>
    </row>
    <row r="39" spans="1:13">
      <c r="A39">
        <v>2</v>
      </c>
      <c r="B39" s="3" t="s">
        <v>81</v>
      </c>
      <c r="C39" s="3"/>
      <c r="E39" s="3"/>
      <c r="F39" s="3"/>
      <c r="G39" s="2"/>
      <c r="M39" s="161"/>
    </row>
    <row r="40" spans="1:13">
      <c r="B40" s="11">
        <v>1</v>
      </c>
      <c r="C40" s="11" t="str">
        <f>VLOOKUP(B40,A38:B39,2,FALSE)</f>
        <v>Geen glasisolatie</v>
      </c>
      <c r="E40" s="3"/>
      <c r="F40" s="3"/>
      <c r="G40" s="2"/>
      <c r="M40" s="161"/>
    </row>
    <row r="41" spans="1:13">
      <c r="B41" s="11"/>
      <c r="C41" s="11"/>
      <c r="E41" s="3"/>
      <c r="F41" s="3"/>
      <c r="G41" s="2"/>
      <c r="M41" s="161"/>
    </row>
    <row r="42" spans="1:13" ht="15" customHeight="1">
      <c r="B42" s="10" t="s">
        <v>82</v>
      </c>
      <c r="C42" s="10" t="s">
        <v>94</v>
      </c>
      <c r="E42" s="3"/>
      <c r="F42" s="1" t="s">
        <v>80</v>
      </c>
      <c r="G42" s="10" t="s">
        <v>83</v>
      </c>
      <c r="I42" s="10" t="s">
        <v>84</v>
      </c>
      <c r="J42" s="10" t="s">
        <v>85</v>
      </c>
      <c r="K42" s="11" t="s">
        <v>90</v>
      </c>
      <c r="L42" s="11" t="s">
        <v>88</v>
      </c>
      <c r="M42" s="12"/>
    </row>
    <row r="43" spans="1:13">
      <c r="A43">
        <v>1</v>
      </c>
      <c r="B43" t="str">
        <f>IF(C40="Geen glasisolatie","Niet van toepassing","Kiest u voor HR++ glas, U ≤ 1,2 W/m2K?")</f>
        <v>Niet van toepassing</v>
      </c>
      <c r="C43" s="11">
        <v>1</v>
      </c>
      <c r="D43" s="11" t="str">
        <f>VLOOKUP(C43,$A$68:$B$69,2,FALSE)</f>
        <v>Niet van toepassing</v>
      </c>
      <c r="E43" s="3">
        <v>1</v>
      </c>
      <c r="F43" t="s">
        <v>63</v>
      </c>
      <c r="G43" s="11">
        <v>1</v>
      </c>
      <c r="H43" s="11" t="str">
        <f>VLOOKUP(G43,E43:F46,2,FALSE)</f>
        <v>Niet van toepassing</v>
      </c>
      <c r="I43" s="3">
        <v>26.5</v>
      </c>
      <c r="J43" s="15">
        <v>23</v>
      </c>
      <c r="K43" s="50">
        <f>IF(H43="Op of ná 1 januari 2023",J43,
IF(H43="Vóór 1 januari 2023 én ≤ 24 maanden geleden",I43,0))</f>
        <v>0</v>
      </c>
      <c r="L43" s="47">
        <f>IF(AND(D43="Ja",$C$85=1,G43=1),0,
IF(AND(D43="Ja",$C$85=1,G43&gt;=2),1,
IF(AND(D43="Ja",$C$85&gt;1),2,0)))</f>
        <v>0</v>
      </c>
      <c r="M43" s="11">
        <f>K43*L43</f>
        <v>0</v>
      </c>
    </row>
    <row r="44" spans="1:13">
      <c r="C44" s="3"/>
      <c r="D44" s="11"/>
      <c r="E44" s="3">
        <v>2</v>
      </c>
      <c r="F44" t="s">
        <v>314</v>
      </c>
      <c r="G44" s="2"/>
      <c r="H44" s="11"/>
      <c r="K44" s="50"/>
      <c r="L44" s="47"/>
      <c r="M44" s="11"/>
    </row>
    <row r="45" spans="1:13">
      <c r="C45" s="3"/>
      <c r="D45" s="11"/>
      <c r="E45" s="3">
        <v>3</v>
      </c>
      <c r="F45" t="s">
        <v>265</v>
      </c>
      <c r="G45" s="2"/>
      <c r="H45" s="11"/>
      <c r="K45" s="50"/>
      <c r="L45" s="47"/>
      <c r="M45" s="11"/>
    </row>
    <row r="46" spans="1:13">
      <c r="C46" s="3"/>
      <c r="D46" s="11"/>
      <c r="E46" s="3"/>
      <c r="G46" s="2"/>
      <c r="H46" s="11"/>
      <c r="K46" s="50"/>
      <c r="L46" s="47"/>
      <c r="M46" s="11"/>
    </row>
    <row r="47" spans="1:13">
      <c r="A47">
        <v>2</v>
      </c>
      <c r="B47" t="str">
        <f>IF(C40="Geen glasisolatie","Niet van toepassing","Kiest u voor Triple glas, U ≤ 0,7 W/m2K?")</f>
        <v>Niet van toepassing</v>
      </c>
      <c r="C47" s="11">
        <v>1</v>
      </c>
      <c r="D47" s="11" t="str">
        <f t="shared" ref="D47" si="1">VLOOKUP(C47,$A$68:$B$69,2,FALSE)</f>
        <v>Niet van toepassing</v>
      </c>
      <c r="E47" s="3">
        <v>1</v>
      </c>
      <c r="F47" t="s">
        <v>63</v>
      </c>
      <c r="G47" s="2">
        <v>1</v>
      </c>
      <c r="H47" s="11" t="str">
        <f>VLOOKUP(G47,E47:F50,2,FALSE)</f>
        <v>Niet van toepassing</v>
      </c>
      <c r="I47" s="3">
        <v>75</v>
      </c>
      <c r="J47" s="15">
        <v>65.5</v>
      </c>
      <c r="K47" s="50">
        <f>IF(H47="Op of ná 1 januari 2023",J47,
IF(H47="Vóór 1 januari 2023 én ≤ 24 maanden geleden",I47,0))</f>
        <v>0</v>
      </c>
      <c r="L47" s="47">
        <f>IF(AND(D47="Ja",$C$85=1,G47=1),0,
IF(AND(D47="Ja",$C$85=1,G47&gt;=2),1,
IF(AND(D47="Ja",$C$85&gt;1),2,0)))</f>
        <v>0</v>
      </c>
      <c r="M47" s="11">
        <f t="shared" ref="M47:M63" si="2">K47*L47</f>
        <v>0</v>
      </c>
    </row>
    <row r="48" spans="1:13">
      <c r="C48" s="3"/>
      <c r="D48" s="11"/>
      <c r="E48" s="3">
        <v>2</v>
      </c>
      <c r="F48" t="s">
        <v>314</v>
      </c>
      <c r="G48" s="2"/>
      <c r="H48" s="11"/>
      <c r="K48" s="50"/>
      <c r="L48" s="47"/>
      <c r="M48" s="11"/>
    </row>
    <row r="49" spans="1:13">
      <c r="C49" s="3"/>
      <c r="D49" s="11"/>
      <c r="E49" s="3">
        <v>3</v>
      </c>
      <c r="F49" t="s">
        <v>265</v>
      </c>
      <c r="G49" s="2"/>
      <c r="H49" s="11"/>
      <c r="K49" s="50"/>
      <c r="L49" s="47"/>
      <c r="M49" s="11"/>
    </row>
    <row r="50" spans="1:13">
      <c r="C50" s="3"/>
      <c r="D50" s="11"/>
      <c r="E50" s="3"/>
      <c r="G50" s="2"/>
      <c r="H50" s="11"/>
      <c r="K50" s="50"/>
      <c r="L50" s="47"/>
      <c r="M50" s="11"/>
    </row>
    <row r="51" spans="1:13">
      <c r="A51">
        <v>3</v>
      </c>
      <c r="B51" t="str">
        <f>IF(OR(AND(D43="Ja",G43&gt;1),AND(D47="Ja",G47&gt;1)),"Kiest u ook voor Isolerende panelen in kozijnen, U ≤ 1,2 W/m2K?","Niet van toepassing")</f>
        <v>Niet van toepassing</v>
      </c>
      <c r="C51" s="11">
        <v>1</v>
      </c>
      <c r="D51" s="11" t="str">
        <f>VLOOKUP(C51,$A$72:$B$73,2,FALSE)</f>
        <v>Niet van toepassing</v>
      </c>
      <c r="E51" s="3">
        <v>1</v>
      </c>
      <c r="F51" t="s">
        <v>63</v>
      </c>
      <c r="G51" s="2">
        <v>1</v>
      </c>
      <c r="H51" s="11" t="str">
        <f>VLOOKUP(G51,E51:F54,2,FALSE)</f>
        <v>Niet van toepassing</v>
      </c>
      <c r="I51" s="3">
        <v>11.5</v>
      </c>
      <c r="J51" s="15">
        <v>10</v>
      </c>
      <c r="K51" s="50">
        <f>IF(H51="Op of ná 1 januari 2023",J51,
IF(H51="Vóór 1 januari 2023 én ≤ 24 maanden geleden",I51,0))</f>
        <v>0</v>
      </c>
      <c r="L51" s="47">
        <f>IF(B51="Niet van toepassing",0,
IF(AND(D51="Ja",$C$85=1,G51=1),0,
IF(AND(D51="Ja",$C$85=1,G51&gt;=2),1,
IF(AND(D51="Ja",$C$85&gt;1),2,0))))</f>
        <v>0</v>
      </c>
      <c r="M51" s="11">
        <f t="shared" si="2"/>
        <v>0</v>
      </c>
    </row>
    <row r="52" spans="1:13">
      <c r="C52" s="3"/>
      <c r="D52" s="11"/>
      <c r="E52" s="3">
        <v>2</v>
      </c>
      <c r="F52" t="s">
        <v>314</v>
      </c>
      <c r="G52" s="2"/>
      <c r="H52" s="11"/>
      <c r="K52" s="50"/>
      <c r="L52" s="47"/>
      <c r="M52" s="11"/>
    </row>
    <row r="53" spans="1:13">
      <c r="C53" s="3"/>
      <c r="D53" s="11"/>
      <c r="E53" s="3">
        <v>3</v>
      </c>
      <c r="F53" t="s">
        <v>265</v>
      </c>
      <c r="G53" s="2"/>
      <c r="H53" s="11"/>
      <c r="K53" s="50"/>
      <c r="L53" s="47"/>
      <c r="M53" s="11"/>
    </row>
    <row r="54" spans="1:13">
      <c r="C54" s="3"/>
      <c r="D54" s="11"/>
      <c r="E54" s="3"/>
      <c r="G54" s="2"/>
      <c r="H54" s="11"/>
      <c r="K54" s="50"/>
      <c r="L54" s="47"/>
      <c r="M54" s="11"/>
    </row>
    <row r="55" spans="1:13">
      <c r="A55">
        <v>4</v>
      </c>
      <c r="B55" t="str">
        <f>IF(OR(AND(D43="Ja",G43&gt;1),AND(D47="Ja",G47&gt;1)),"Kiest u ook voor Isolerende panelen in kozijnen, U ≤ 0,7 W/m2K?","Niet van toepassing")</f>
        <v>Niet van toepassing</v>
      </c>
      <c r="C55" s="11">
        <v>1</v>
      </c>
      <c r="D55" s="11" t="str">
        <f>VLOOKUP(C55,$A$72:$B$73,2,FALSE)</f>
        <v>Niet van toepassing</v>
      </c>
      <c r="E55" s="3">
        <v>1</v>
      </c>
      <c r="F55" t="s">
        <v>63</v>
      </c>
      <c r="G55" s="2">
        <v>1</v>
      </c>
      <c r="H55" s="11" t="str">
        <f>VLOOKUP(G55,E55:F58,2,FALSE)</f>
        <v>Niet van toepassing</v>
      </c>
      <c r="I55" s="3">
        <v>57.5</v>
      </c>
      <c r="J55" s="15">
        <v>45</v>
      </c>
      <c r="K55" s="50">
        <f>IF(H55="Op of ná 1 januari 2023",J55,
IF(H55="Vóór 1 januari 2023 én ≤ 24 maanden geleden",I55,0))</f>
        <v>0</v>
      </c>
      <c r="L55" s="47">
        <f>IF(B55="Niet van toepassing",0,
IF(AND(D55="Ja",$C$85=1,G55=1),0,
IF(AND(D55="Ja",$C$85=1,G55&gt;=2),1,
IF(AND(D55="Ja",$C$85&gt;1),2,0))))</f>
        <v>0</v>
      </c>
      <c r="M55" s="11">
        <f t="shared" si="2"/>
        <v>0</v>
      </c>
    </row>
    <row r="56" spans="1:13">
      <c r="C56" s="3"/>
      <c r="D56" s="11"/>
      <c r="E56" s="3">
        <v>2</v>
      </c>
      <c r="F56" t="s">
        <v>314</v>
      </c>
      <c r="G56" s="2"/>
      <c r="H56" s="11"/>
      <c r="K56" s="50"/>
      <c r="L56" s="47"/>
      <c r="M56" s="11"/>
    </row>
    <row r="57" spans="1:13">
      <c r="C57" s="3"/>
      <c r="D57" s="11"/>
      <c r="E57" s="3">
        <v>3</v>
      </c>
      <c r="F57" t="s">
        <v>265</v>
      </c>
      <c r="G57" s="2"/>
      <c r="H57" s="11"/>
      <c r="K57" s="50"/>
      <c r="L57" s="47"/>
      <c r="M57" s="11"/>
    </row>
    <row r="58" spans="1:13">
      <c r="C58" s="3"/>
      <c r="D58" s="11"/>
      <c r="E58" s="3"/>
      <c r="G58" s="2"/>
      <c r="H58" s="11"/>
      <c r="K58" s="50"/>
      <c r="L58" s="47"/>
      <c r="M58" s="11"/>
    </row>
    <row r="59" spans="1:13">
      <c r="A59">
        <v>5</v>
      </c>
      <c r="B59" t="str">
        <f>IF(OR(AND(D43="Ja",G43&gt;1),AND(D47="Ja",G47&gt;1)),"Kiest u ook voor Isolerende deuren, Ud ≤ 1,5 W/m2K?","Niet van toepassing")</f>
        <v>Niet van toepassing</v>
      </c>
      <c r="C59" s="11">
        <v>1</v>
      </c>
      <c r="D59" s="11" t="str">
        <f>VLOOKUP(C59,$A$72:$B$73,2,FALSE)</f>
        <v>Niet van toepassing</v>
      </c>
      <c r="E59" s="3">
        <v>1</v>
      </c>
      <c r="F59" t="s">
        <v>63</v>
      </c>
      <c r="G59" s="2">
        <v>1</v>
      </c>
      <c r="H59" s="11" t="str">
        <f>VLOOKUP(G59,E59:F62,2,FALSE)</f>
        <v>Niet van toepassing</v>
      </c>
      <c r="I59" s="3">
        <v>26.5</v>
      </c>
      <c r="J59" s="15">
        <v>23</v>
      </c>
      <c r="K59" s="50">
        <f>IF(H59="Op of ná 1 januari 2023",J59,
IF(H59="Vóór 1 januari 2023 én ≤ 24 maanden geleden",I59,0))</f>
        <v>0</v>
      </c>
      <c r="L59" s="47">
        <f>IF(B59="Niet van toepassing",0,
IF(AND(D59="Ja",$C$85=1,G59=1),0,
IF(AND(D59="Ja",$C$85=1,G59&gt;=2),1,
IF(AND(D59="Ja",$C$85&gt;1),2,0))))</f>
        <v>0</v>
      </c>
      <c r="M59" s="11">
        <f t="shared" si="2"/>
        <v>0</v>
      </c>
    </row>
    <row r="60" spans="1:13">
      <c r="C60" s="3"/>
      <c r="D60" s="11"/>
      <c r="E60" s="3">
        <v>2</v>
      </c>
      <c r="F60" t="s">
        <v>314</v>
      </c>
      <c r="G60" s="2"/>
      <c r="H60" s="11"/>
      <c r="K60" s="50"/>
      <c r="L60" s="47"/>
      <c r="M60" s="11"/>
    </row>
    <row r="61" spans="1:13">
      <c r="C61" s="3"/>
      <c r="D61" s="11"/>
      <c r="E61" s="3">
        <v>3</v>
      </c>
      <c r="F61" t="s">
        <v>265</v>
      </c>
      <c r="G61" s="2"/>
      <c r="H61" s="11"/>
      <c r="K61" s="50"/>
      <c r="L61" s="47"/>
      <c r="M61" s="11"/>
    </row>
    <row r="62" spans="1:13">
      <c r="C62" s="3"/>
      <c r="D62" s="11"/>
      <c r="E62" s="3"/>
      <c r="G62" s="2"/>
      <c r="H62" s="11"/>
      <c r="K62" s="50"/>
      <c r="L62" s="47"/>
      <c r="M62" s="11"/>
    </row>
    <row r="63" spans="1:13">
      <c r="A63">
        <v>6</v>
      </c>
      <c r="B63" t="str">
        <f>IF(OR(AND(D43="Ja",G43&gt;1),AND(D47="Ja",G47&gt;1)),"Kiest u ook voor Isolerende deuren, Ud ≤ 1,0 W/m2K?","Niet van toepassing")</f>
        <v>Niet van toepassing</v>
      </c>
      <c r="C63" s="11">
        <v>1</v>
      </c>
      <c r="D63" s="11" t="str">
        <f>VLOOKUP(C63,$A$72:$B$73,2,FALSE)</f>
        <v>Niet van toepassing</v>
      </c>
      <c r="E63" s="3">
        <v>1</v>
      </c>
      <c r="F63" t="s">
        <v>63</v>
      </c>
      <c r="G63" s="2">
        <v>1</v>
      </c>
      <c r="H63" s="11" t="str">
        <f>VLOOKUP(G63,E63:F66,2,FALSE)</f>
        <v>Niet van toepassing</v>
      </c>
      <c r="I63" s="3">
        <v>75</v>
      </c>
      <c r="J63" s="15">
        <v>65.5</v>
      </c>
      <c r="K63" s="50">
        <f>IF(H63="Op of ná 1 januari 2023",J63,
IF(H63="Vóór 1 januari 2023 én ≤ 24 maanden geleden",I63,0))</f>
        <v>0</v>
      </c>
      <c r="L63" s="47">
        <f>IF(B59="Niet van toepassing",0,
IF(AND(D63="Ja",$C$85=1,G63=1),0,
IF(AND(D63="Ja",$C$85=1,G63&gt;=2),1,
IF(AND(D63="Ja",$C$85&gt;1),2,0))))</f>
        <v>0</v>
      </c>
      <c r="M63" s="11">
        <f t="shared" si="2"/>
        <v>0</v>
      </c>
    </row>
    <row r="64" spans="1:13">
      <c r="E64" s="3">
        <v>2</v>
      </c>
      <c r="F64" t="s">
        <v>314</v>
      </c>
      <c r="G64" s="2"/>
    </row>
    <row r="65" spans="1:7">
      <c r="E65" s="3">
        <v>3</v>
      </c>
      <c r="F65" t="s">
        <v>265</v>
      </c>
      <c r="G65" s="2"/>
    </row>
    <row r="66" spans="1:7">
      <c r="C66" s="3"/>
      <c r="D66" s="3"/>
      <c r="E66" s="3"/>
    </row>
    <row r="67" spans="1:7">
      <c r="B67" s="1" t="s">
        <v>92</v>
      </c>
      <c r="C67" s="3"/>
      <c r="D67" s="3"/>
      <c r="E67" s="3"/>
      <c r="F67" s="2"/>
    </row>
    <row r="68" spans="1:7">
      <c r="A68">
        <v>1</v>
      </c>
      <c r="B68" t="str">
        <f>IF(C40="Geen glasisolatie","Niet van toepassing","Nee")</f>
        <v>Niet van toepassing</v>
      </c>
      <c r="C68" s="3"/>
      <c r="D68" s="3"/>
      <c r="E68" s="3"/>
      <c r="F68" s="2"/>
    </row>
    <row r="69" spans="1:7">
      <c r="A69">
        <v>2</v>
      </c>
      <c r="B69" t="str">
        <f>IF(C40="Geen glasisolatie","","Ja")</f>
        <v/>
      </c>
      <c r="C69" s="3"/>
      <c r="D69" s="3"/>
      <c r="E69" s="3"/>
      <c r="F69" s="2"/>
    </row>
    <row r="70" spans="1:7">
      <c r="C70" s="3"/>
      <c r="D70" s="3"/>
      <c r="E70" s="3"/>
      <c r="F70" s="2"/>
    </row>
    <row r="71" spans="1:7">
      <c r="B71" s="1" t="s">
        <v>93</v>
      </c>
      <c r="C71" s="10"/>
      <c r="D71" s="3"/>
      <c r="E71" s="3"/>
      <c r="F71" s="2"/>
    </row>
    <row r="72" spans="1:7">
      <c r="A72">
        <v>1</v>
      </c>
      <c r="B72" t="str">
        <f>IF(OR(D43="Ja",D47="Ja"),"Nee","Niet van toepassing")</f>
        <v>Niet van toepassing</v>
      </c>
      <c r="C72" s="3"/>
      <c r="D72" s="3"/>
      <c r="E72" s="3"/>
      <c r="F72" s="2"/>
    </row>
    <row r="73" spans="1:7">
      <c r="A73">
        <v>2</v>
      </c>
      <c r="B73" t="str">
        <f>IF(OR(D43="Ja",D47="Ja"),"Ja","")</f>
        <v/>
      </c>
      <c r="C73" s="3"/>
      <c r="D73" s="3"/>
      <c r="E73" s="3"/>
      <c r="F73" s="2"/>
    </row>
    <row r="74" spans="1:7">
      <c r="C74" s="3"/>
      <c r="D74" s="3"/>
      <c r="E74" s="3"/>
      <c r="F74" s="2"/>
    </row>
    <row r="75" spans="1:7">
      <c r="B75" s="1" t="s">
        <v>91</v>
      </c>
      <c r="C75" s="3"/>
      <c r="D75" s="10" t="s">
        <v>118</v>
      </c>
      <c r="E75" s="3"/>
      <c r="F75" s="3"/>
    </row>
    <row r="76" spans="1:7">
      <c r="B76" s="10">
        <f>IF(B4=3,1,0)</f>
        <v>0</v>
      </c>
      <c r="C76" s="3" t="s">
        <v>315</v>
      </c>
      <c r="D76" s="15">
        <f>IF(OR(
AND(H43="Vóór 1 januari 2023 én ≤ 24 maanden geleden",'Keuzeblad maatregelen'!K68&gt;0),
AND(H43="Op of ná 1 januari 2023",'Keuzeblad maatregelen'!K68&gt;0)),
'Keuzeblad maatregelen'!K68,0)</f>
        <v>0</v>
      </c>
      <c r="E76" s="3"/>
      <c r="F76" s="2"/>
    </row>
    <row r="77" spans="1:7">
      <c r="B77" s="10">
        <f>IF(AND(B14&gt;1,E14&gt;1,'Keuzeblad maatregelen'!K28&gt;=Hulpblad!G14),1,0)</f>
        <v>0</v>
      </c>
      <c r="C77" s="3" t="s">
        <v>4</v>
      </c>
      <c r="D77" s="15">
        <f>IF(OR(
AND(H47="Vóór 1 januari 2023 én ≤ 24 maanden geleden",'Keuzeblad maatregelen'!K74&gt;0),
AND(H47="Op of ná 1 januari 2023",'Keuzeblad maatregelen'!K74&gt;0)),
'Keuzeblad maatregelen'!K74,0)</f>
        <v>0</v>
      </c>
      <c r="E77" s="3"/>
      <c r="F77" s="2"/>
    </row>
    <row r="78" spans="1:7">
      <c r="B78" s="10">
        <f>IF(AND(B18&gt;1,E19&gt;1,'Keuzeblad maatregelen'!K34&gt;=Hulpblad!G17),1,0)</f>
        <v>0</v>
      </c>
      <c r="C78" s="3" t="s">
        <v>5</v>
      </c>
      <c r="D78" s="15">
        <f>IF(OR(
AND(H51="Vóór 1 januari 2023 én ≤ 24 maanden geleden",'Keuzeblad maatregelen'!K80&gt;0),
AND(H51="Op of ná 1 januari 2023",'Keuzeblad maatregelen'!K80&gt;0)),
'Keuzeblad maatregelen'!K80,0)</f>
        <v>0</v>
      </c>
      <c r="E78" s="3"/>
      <c r="F78" s="2"/>
    </row>
    <row r="79" spans="1:7">
      <c r="B79" s="10">
        <f>IF(AND(B23&gt;1,E24&gt;1,'Keuzeblad maatregelen'!K40&gt;=Hulpblad!G22),1,0)</f>
        <v>0</v>
      </c>
      <c r="C79" s="3" t="s">
        <v>6</v>
      </c>
      <c r="D79" s="15">
        <f>IF(OR(
AND(H55="Vóór 1 januari 2023 én ≤ 24 maanden geleden",'Keuzeblad maatregelen'!K86&gt;0),
AND(H55="Op of ná 1 januari 2023",'Keuzeblad maatregelen'!K86&gt;0)),
'Keuzeblad maatregelen'!K86,0)</f>
        <v>0</v>
      </c>
      <c r="E79" s="3"/>
      <c r="F79" s="2"/>
    </row>
    <row r="80" spans="1:7">
      <c r="B80" s="10">
        <f>IF(AND(B29&gt;1,E29&gt;1,'Keuzeblad maatregelen'!K46&gt;=Hulpblad!G27),1,0)</f>
        <v>0</v>
      </c>
      <c r="C80" s="3" t="s">
        <v>8</v>
      </c>
      <c r="D80" s="15">
        <f>IF(OR(
AND(H59="Vóór 1 januari 2023 én ≤ 24 maanden geleden",'Keuzeblad maatregelen'!K92&gt;0),
AND(H59="Op of ná 1 januari 2023",'Keuzeblad maatregelen'!K92&gt;0)),
'Keuzeblad maatregelen'!K92,0)</f>
        <v>0</v>
      </c>
      <c r="E80" s="3"/>
      <c r="F80" s="2"/>
    </row>
    <row r="81" spans="1:6">
      <c r="B81" s="10">
        <f>IF(AND(OR(D76&gt;0,D77&gt;0),D82&gt;=8),1,0)</f>
        <v>0</v>
      </c>
      <c r="C81" s="3" t="s">
        <v>7</v>
      </c>
      <c r="D81" s="15">
        <f>IF(OR(
AND(H63="Vóór 1 januari 2023 én ≤ 24 maanden geleden",'Keuzeblad maatregelen'!K98&gt;0),
AND(H63="Op of ná 1 januari 2023",'Keuzeblad maatregelen'!K98&gt;0)),
'Keuzeblad maatregelen'!K98,0)</f>
        <v>0</v>
      </c>
      <c r="E81" s="3"/>
      <c r="F81" s="2"/>
    </row>
    <row r="82" spans="1:6">
      <c r="B82" s="10">
        <f>IF('Keuzeblad maatregelen'!O110&gt;0,1,0)</f>
        <v>0</v>
      </c>
      <c r="C82" s="3" t="s">
        <v>291</v>
      </c>
      <c r="D82" s="47">
        <f>SUM(D76:D81)</f>
        <v>0</v>
      </c>
      <c r="E82" s="3"/>
      <c r="F82" s="2"/>
    </row>
    <row r="83" spans="1:6">
      <c r="B83" s="10">
        <f>IF('Keuzeblad maatregelen'!O137&gt;0,1,0)</f>
        <v>0</v>
      </c>
      <c r="C83" s="3" t="s">
        <v>9</v>
      </c>
      <c r="D83" s="3"/>
      <c r="E83" s="3"/>
      <c r="F83" s="2"/>
    </row>
    <row r="84" spans="1:6">
      <c r="B84" s="10">
        <f>IF('Keuzeblad maatregelen'!O149&gt;0,1,0)</f>
        <v>0</v>
      </c>
      <c r="C84" s="3" t="s">
        <v>23</v>
      </c>
    </row>
    <row r="85" spans="1:6">
      <c r="B85" s="1" t="s">
        <v>316</v>
      </c>
      <c r="C85" s="4">
        <f>SUM(B76:B84)</f>
        <v>0</v>
      </c>
    </row>
    <row r="86" spans="1:6">
      <c r="B86" s="1"/>
    </row>
    <row r="87" spans="1:6" ht="18.75">
      <c r="B87" s="14" t="s">
        <v>43</v>
      </c>
      <c r="C87" s="1" t="s">
        <v>66</v>
      </c>
      <c r="D87" s="1" t="s">
        <v>67</v>
      </c>
      <c r="E87" s="1" t="s">
        <v>68</v>
      </c>
    </row>
    <row r="88" spans="1:6">
      <c r="A88">
        <v>1</v>
      </c>
      <c r="B88" s="3" t="s">
        <v>44</v>
      </c>
      <c r="C88">
        <v>0</v>
      </c>
    </row>
    <row r="89" spans="1:6">
      <c r="A89">
        <v>2</v>
      </c>
      <c r="B89" t="str">
        <f>B181</f>
        <v>Lucht-water &lt; 1 kW</v>
      </c>
      <c r="C89">
        <v>0</v>
      </c>
    </row>
    <row r="90" spans="1:6">
      <c r="A90">
        <v>3</v>
      </c>
      <c r="B90" t="str">
        <f>B186</f>
        <v>Lucht-water ≥ 1 kW en ≤ 70 kW</v>
      </c>
      <c r="C90">
        <v>150</v>
      </c>
      <c r="D90">
        <v>1</v>
      </c>
      <c r="E90">
        <v>70</v>
      </c>
    </row>
    <row r="91" spans="1:6">
      <c r="A91">
        <v>4</v>
      </c>
      <c r="B91" t="str">
        <f>B191</f>
        <v>Lucht-water ≥ 71 kW en ≤ 400 kW</v>
      </c>
      <c r="C91">
        <v>150</v>
      </c>
      <c r="D91">
        <v>71</v>
      </c>
      <c r="E91">
        <v>400</v>
      </c>
    </row>
    <row r="92" spans="1:6">
      <c r="A92">
        <v>5</v>
      </c>
      <c r="B92" t="str">
        <f>B197</f>
        <v>Grond-water &lt; 1 kW</v>
      </c>
      <c r="C92">
        <v>0</v>
      </c>
    </row>
    <row r="93" spans="1:6">
      <c r="A93">
        <v>6</v>
      </c>
      <c r="B93" t="str">
        <f>B202</f>
        <v>Grond-water ≥ 1 kW en &lt; 10 kW</v>
      </c>
      <c r="C93">
        <v>0</v>
      </c>
    </row>
    <row r="94" spans="1:6">
      <c r="A94">
        <v>7</v>
      </c>
      <c r="B94" t="str">
        <f>B207</f>
        <v>Grond-water ≥ 10 kW en ≤ 70 kW</v>
      </c>
      <c r="C94">
        <v>150</v>
      </c>
      <c r="D94">
        <v>10</v>
      </c>
      <c r="E94">
        <v>70</v>
      </c>
    </row>
    <row r="95" spans="1:6">
      <c r="A95">
        <v>8</v>
      </c>
      <c r="B95" t="str">
        <f>B212</f>
        <v>Grond-water ≥ 71 kW en ≤ 400 kW</v>
      </c>
      <c r="C95">
        <v>150</v>
      </c>
      <c r="D95">
        <v>71</v>
      </c>
      <c r="E95">
        <v>400</v>
      </c>
    </row>
    <row r="96" spans="1:6">
      <c r="A96">
        <v>9</v>
      </c>
      <c r="B96" t="str">
        <f>+B218</f>
        <v>Water-water &lt; 1 kW</v>
      </c>
      <c r="C96">
        <v>0</v>
      </c>
    </row>
    <row r="97" spans="1:5">
      <c r="A97">
        <v>10</v>
      </c>
      <c r="B97" t="str">
        <f>B223</f>
        <v>Water-water ≥ 1 kW en &lt; 10 kW</v>
      </c>
      <c r="C97">
        <v>0</v>
      </c>
    </row>
    <row r="98" spans="1:5">
      <c r="A98">
        <v>11</v>
      </c>
      <c r="B98" t="str">
        <f>B228</f>
        <v>Water-water ≥ 10 kW en ≤ 70 kW</v>
      </c>
      <c r="C98">
        <v>150</v>
      </c>
      <c r="D98">
        <v>10</v>
      </c>
      <c r="E98">
        <v>70</v>
      </c>
    </row>
    <row r="99" spans="1:5">
      <c r="A99">
        <v>12</v>
      </c>
      <c r="B99" t="str">
        <f>B233</f>
        <v>Water-water ≥ 71 kW en ≤ 400 kW</v>
      </c>
      <c r="C99">
        <v>150</v>
      </c>
      <c r="D99">
        <v>71</v>
      </c>
      <c r="E99">
        <v>400</v>
      </c>
    </row>
    <row r="100" spans="1:5">
      <c r="B100" s="11">
        <v>1</v>
      </c>
      <c r="C100" s="11" t="str">
        <f>VLOOKUP(B100,A88:B99,2,FALSE)</f>
        <v>Geen warmtepomp</v>
      </c>
    </row>
    <row r="101" spans="1:5">
      <c r="B101" s="11"/>
    </row>
    <row r="102" spans="1:5">
      <c r="B102" s="10" t="s">
        <v>65</v>
      </c>
      <c r="C102" s="1"/>
      <c r="D102" s="1"/>
      <c r="E102" s="1"/>
    </row>
    <row r="103" spans="1:5">
      <c r="A103">
        <v>1</v>
      </c>
      <c r="B103" s="3" t="s">
        <v>63</v>
      </c>
      <c r="C103" s="1"/>
    </row>
    <row r="104" spans="1:5">
      <c r="A104">
        <v>2</v>
      </c>
      <c r="B104" t="s">
        <v>150</v>
      </c>
    </row>
    <row r="105" spans="1:5">
      <c r="A105">
        <v>3</v>
      </c>
      <c r="B105" t="s">
        <v>151</v>
      </c>
    </row>
    <row r="106" spans="1:5">
      <c r="A106">
        <v>4</v>
      </c>
      <c r="B106" t="s">
        <v>152</v>
      </c>
    </row>
    <row r="107" spans="1:5">
      <c r="A107">
        <v>5</v>
      </c>
      <c r="B107" t="str">
        <f>IF(OR($C$100="Geen warmtepomp",$C$100="Lucht-water ≥ 70 kW en ≤ 400 kW",$C$100="Grond-water ≥ 70 kW en ≤ 400 kW",$C$100="Water-water ≥ 70 kW en ≤ 400 kW" ),"Niet van toepassing","Energieklasse A t/m G")</f>
        <v>Niet van toepassing</v>
      </c>
    </row>
    <row r="108" spans="1:5">
      <c r="B108" s="11">
        <v>1</v>
      </c>
      <c r="C108" s="11" t="str">
        <f>VLOOKUP(B108,A103:B107,2,FALSE)</f>
        <v>Niet van toepassing</v>
      </c>
      <c r="E108" s="11"/>
    </row>
    <row r="109" spans="1:5">
      <c r="B109" s="11"/>
      <c r="C109" s="11"/>
      <c r="D109" s="11"/>
    </row>
    <row r="110" spans="1:5">
      <c r="B110" s="10" t="s">
        <v>153</v>
      </c>
      <c r="C110" s="11"/>
      <c r="D110" s="11"/>
    </row>
    <row r="111" spans="1:5">
      <c r="A111">
        <v>1</v>
      </c>
      <c r="B111" s="3" t="s">
        <v>63</v>
      </c>
      <c r="C111" s="11"/>
      <c r="D111" s="11"/>
    </row>
    <row r="112" spans="1:5">
      <c r="A112">
        <v>2</v>
      </c>
      <c r="B112" s="3" t="s">
        <v>154</v>
      </c>
      <c r="C112" s="11"/>
      <c r="D112" s="11"/>
    </row>
    <row r="113" spans="1:4">
      <c r="A113">
        <v>3</v>
      </c>
      <c r="B113" s="3" t="s">
        <v>133</v>
      </c>
      <c r="C113" s="11"/>
      <c r="D113" s="11"/>
    </row>
    <row r="114" spans="1:4">
      <c r="B114" s="11">
        <v>1</v>
      </c>
      <c r="C114" s="11" t="str">
        <f>VLOOKUP(B114,A111:B113,2,FALSE)</f>
        <v>Niet van toepassing</v>
      </c>
      <c r="D114" s="11"/>
    </row>
    <row r="115" spans="1:4">
      <c r="B115" s="11"/>
      <c r="C115" s="11"/>
      <c r="D115" s="11"/>
    </row>
    <row r="116" spans="1:4">
      <c r="B116" s="10" t="s">
        <v>201</v>
      </c>
      <c r="C116" s="11" t="str">
        <f>Hulpblad!C100&amp;" "&amp;Hulpblad!C108&amp;" "&amp;Hulpblad!C114&amp;""</f>
        <v>Geen warmtepomp Niet van toepassing Niet van toepassing</v>
      </c>
      <c r="D116" s="11"/>
    </row>
    <row r="118" spans="1:4">
      <c r="B118" s="1" t="s">
        <v>50</v>
      </c>
    </row>
    <row r="119" spans="1:4">
      <c r="B119" t="s">
        <v>69</v>
      </c>
      <c r="C119" s="11">
        <f>VLOOKUP(C100,B88:E99,3,FALSE)</f>
        <v>0</v>
      </c>
    </row>
    <row r="120" spans="1:4">
      <c r="B120" t="s">
        <v>70</v>
      </c>
      <c r="C120" s="11">
        <f>VLOOKUP(C100,B88:E99,4,FALSE)</f>
        <v>0</v>
      </c>
    </row>
    <row r="122" spans="1:4" ht="18.75">
      <c r="B122" s="13" t="s">
        <v>47</v>
      </c>
    </row>
    <row r="123" spans="1:4">
      <c r="A123">
        <v>1</v>
      </c>
      <c r="B123" s="9" t="s">
        <v>48</v>
      </c>
    </row>
    <row r="124" spans="1:4" ht="17.25">
      <c r="A124">
        <v>2</v>
      </c>
      <c r="B124" t="s">
        <v>19</v>
      </c>
    </row>
    <row r="125" spans="1:4" ht="17.25">
      <c r="A125">
        <v>3</v>
      </c>
      <c r="B125" t="s">
        <v>20</v>
      </c>
    </row>
    <row r="126" spans="1:4" ht="17.25">
      <c r="A126">
        <v>4</v>
      </c>
      <c r="B126" t="s">
        <v>21</v>
      </c>
    </row>
    <row r="127" spans="1:4" ht="17.25">
      <c r="A127">
        <v>5</v>
      </c>
      <c r="B127" t="s">
        <v>22</v>
      </c>
    </row>
    <row r="128" spans="1:4">
      <c r="B128" s="11">
        <v>1</v>
      </c>
      <c r="C128" s="11" t="str">
        <f>VLOOKUP(B128,A123:B127,2,FALSE)</f>
        <v>Geen zonneboiler</v>
      </c>
    </row>
    <row r="129" spans="1:4">
      <c r="B129" s="11"/>
      <c r="C129" s="11"/>
    </row>
    <row r="130" spans="1:4">
      <c r="B130" s="10" t="s">
        <v>254</v>
      </c>
      <c r="C130" s="11"/>
    </row>
    <row r="131" spans="1:4">
      <c r="A131">
        <v>1</v>
      </c>
      <c r="B131" s="3" t="s">
        <v>63</v>
      </c>
      <c r="C131" s="11"/>
    </row>
    <row r="132" spans="1:4">
      <c r="A132">
        <v>2</v>
      </c>
      <c r="B132" s="3" t="s">
        <v>154</v>
      </c>
      <c r="C132" s="11"/>
    </row>
    <row r="133" spans="1:4">
      <c r="A133">
        <v>3</v>
      </c>
      <c r="B133" s="3" t="s">
        <v>133</v>
      </c>
      <c r="C133" s="11"/>
    </row>
    <row r="134" spans="1:4">
      <c r="B134" s="11">
        <v>1</v>
      </c>
      <c r="C134" s="11" t="str">
        <f>VLOOKUP(B134,A131:B133,2,FALSE)</f>
        <v>Niet van toepassing</v>
      </c>
    </row>
    <row r="135" spans="1:4">
      <c r="B135" s="11"/>
      <c r="C135" s="11"/>
    </row>
    <row r="136" spans="1:4">
      <c r="B136" s="10" t="s">
        <v>255</v>
      </c>
      <c r="C136" s="47" t="str">
        <f>Hulpblad!C128&amp;" "&amp;Hulpblad!C134&amp;""</f>
        <v>Geen zonneboiler Niet van toepassing</v>
      </c>
    </row>
    <row r="137" spans="1:4">
      <c r="B137" s="1"/>
    </row>
    <row r="138" spans="1:4" ht="18.75">
      <c r="B138" s="13" t="s">
        <v>49</v>
      </c>
    </row>
    <row r="139" spans="1:4">
      <c r="A139">
        <v>1</v>
      </c>
      <c r="B139" s="9" t="s">
        <v>249</v>
      </c>
      <c r="C139" t="s">
        <v>63</v>
      </c>
      <c r="D139" t="str">
        <f>""</f>
        <v/>
      </c>
    </row>
    <row r="140" spans="1:4">
      <c r="A140">
        <v>2</v>
      </c>
      <c r="B140" s="9" t="s">
        <v>248</v>
      </c>
      <c r="C140" t="s">
        <v>63</v>
      </c>
      <c r="D140" t="str">
        <f>""</f>
        <v/>
      </c>
    </row>
    <row r="141" spans="1:4">
      <c r="B141" s="11">
        <v>1</v>
      </c>
      <c r="C141" s="11" t="str">
        <f>VLOOKUP(B141,A139:B140,2,FALSE)</f>
        <v>Geen aansluiting op een warmtenet</v>
      </c>
      <c r="D141" s="9"/>
    </row>
    <row r="142" spans="1:4">
      <c r="B142" s="10" t="s">
        <v>252</v>
      </c>
      <c r="C142" s="11"/>
      <c r="D142" s="9"/>
    </row>
    <row r="143" spans="1:4">
      <c r="A143">
        <v>1</v>
      </c>
      <c r="B143" s="3" t="s">
        <v>63</v>
      </c>
      <c r="C143" s="11"/>
      <c r="D143" s="9"/>
    </row>
    <row r="144" spans="1:4">
      <c r="A144">
        <v>2</v>
      </c>
      <c r="B144" s="3" t="s">
        <v>154</v>
      </c>
      <c r="C144" s="11"/>
      <c r="D144" s="9"/>
    </row>
    <row r="145" spans="1:12">
      <c r="A145">
        <v>3</v>
      </c>
      <c r="B145" s="3" t="s">
        <v>133</v>
      </c>
    </row>
    <row r="146" spans="1:12">
      <c r="B146" s="11">
        <v>1</v>
      </c>
      <c r="C146" s="11" t="str">
        <f>VLOOKUP(B146,A143:B145,2,FALSE)</f>
        <v>Niet van toepassing</v>
      </c>
    </row>
    <row r="147" spans="1:12">
      <c r="B147" s="3"/>
    </row>
    <row r="148" spans="1:12">
      <c r="B148" s="10" t="s">
        <v>201</v>
      </c>
      <c r="C148" s="11" t="str">
        <f>Hulpblad!C141&amp;" "&amp;Hulpblad!C146&amp;""</f>
        <v>Geen aansluiting op een warmtenet Niet van toepassing</v>
      </c>
    </row>
    <row r="149" spans="1:12">
      <c r="B149" s="3"/>
    </row>
    <row r="150" spans="1:12" ht="18.75">
      <c r="B150" s="13" t="s">
        <v>112</v>
      </c>
    </row>
    <row r="151" spans="1:12" ht="45.75" customHeight="1">
      <c r="B151" s="9" t="s">
        <v>117</v>
      </c>
      <c r="E151" s="9" t="s">
        <v>113</v>
      </c>
      <c r="H151" s="17" t="s">
        <v>110</v>
      </c>
      <c r="K151" s="17" t="s">
        <v>114</v>
      </c>
    </row>
    <row r="152" spans="1:12">
      <c r="A152">
        <v>1</v>
      </c>
      <c r="B152" s="9" t="s">
        <v>99</v>
      </c>
      <c r="D152">
        <v>1</v>
      </c>
      <c r="E152" t="str">
        <f>IF(C154="Nee","Niet van toepassing","Nee")</f>
        <v>Niet van toepassing</v>
      </c>
      <c r="G152">
        <v>1</v>
      </c>
      <c r="H152" s="3" t="str">
        <f>IF(OR(C154="Nee",F154="Nee"),"Niet van toepassing","Nee")</f>
        <v>Niet van toepassing</v>
      </c>
      <c r="J152">
        <v>1</v>
      </c>
      <c r="K152" t="str">
        <f>IF(OR(C154="Nee",F154="Nee",I154="Ja"),"Niet van toepassing","Nee")</f>
        <v>Niet van toepassing</v>
      </c>
    </row>
    <row r="153" spans="1:12">
      <c r="A153">
        <v>2</v>
      </c>
      <c r="B153" s="9" t="s">
        <v>98</v>
      </c>
      <c r="D153">
        <v>2</v>
      </c>
      <c r="E153" t="str">
        <f>IF(C154="Nee","","Ja")</f>
        <v/>
      </c>
      <c r="G153">
        <v>2</v>
      </c>
      <c r="H153" s="3" t="str">
        <f>IF(OR(C154="Nee",F154="Nee"),"","Ja")</f>
        <v/>
      </c>
      <c r="J153">
        <v>2</v>
      </c>
      <c r="K153" t="str">
        <f>IF(OR(C154="Nee",F154="Nee",I154="Ja"),"","Ja")</f>
        <v/>
      </c>
    </row>
    <row r="154" spans="1:12">
      <c r="B154" s="11">
        <v>1</v>
      </c>
      <c r="C154" s="11" t="str">
        <f>VLOOKUP(B154,A152:B153,2,FALSE)</f>
        <v>Nee</v>
      </c>
      <c r="E154" s="11">
        <v>1</v>
      </c>
      <c r="F154" s="11" t="str">
        <f>VLOOKUP(E154,D152:E153,2,FALSE)</f>
        <v>Niet van toepassing</v>
      </c>
      <c r="H154" s="11">
        <v>1</v>
      </c>
      <c r="I154" s="11" t="str">
        <f>VLOOKUP(H154,G152:H153,2,FALSE)</f>
        <v>Niet van toepassing</v>
      </c>
      <c r="K154" s="11">
        <v>1</v>
      </c>
      <c r="L154" s="11" t="str">
        <f>VLOOKUP(K154,J152:K153,2,FALSE)</f>
        <v>Niet van toepassing</v>
      </c>
    </row>
    <row r="155" spans="1:12">
      <c r="B155" s="11"/>
      <c r="C155" s="11"/>
    </row>
    <row r="156" spans="1:12">
      <c r="B156" s="11"/>
      <c r="C156" s="11"/>
    </row>
    <row r="157" spans="1:12">
      <c r="C157" s="11"/>
    </row>
    <row r="158" spans="1:12">
      <c r="C158" s="11"/>
    </row>
    <row r="159" spans="1:12">
      <c r="B159" s="11"/>
      <c r="C159" s="11"/>
    </row>
    <row r="160" spans="1:12" ht="18.75">
      <c r="A160" s="13" t="s">
        <v>71</v>
      </c>
      <c r="B160" s="11"/>
      <c r="C160" s="11"/>
    </row>
    <row r="161" spans="2:8">
      <c r="B161" s="11"/>
    </row>
    <row r="162" spans="2:8" ht="34.5" customHeight="1">
      <c r="B162" s="1" t="s">
        <v>17</v>
      </c>
      <c r="C162" s="1" t="s">
        <v>10</v>
      </c>
      <c r="D162" s="6" t="s">
        <v>86</v>
      </c>
      <c r="E162" s="6" t="s">
        <v>87</v>
      </c>
      <c r="F162" s="5" t="s">
        <v>26</v>
      </c>
      <c r="G162" s="5" t="s">
        <v>27</v>
      </c>
      <c r="H162" s="8" t="s">
        <v>121</v>
      </c>
    </row>
    <row r="163" spans="2:8" ht="15" customHeight="1">
      <c r="B163" t="s">
        <v>4</v>
      </c>
      <c r="C163" t="s">
        <v>30</v>
      </c>
      <c r="D163" s="3">
        <v>15</v>
      </c>
      <c r="E163" s="7">
        <v>15</v>
      </c>
      <c r="F163">
        <v>20</v>
      </c>
      <c r="G163">
        <v>200</v>
      </c>
      <c r="H163" s="7">
        <v>5</v>
      </c>
    </row>
    <row r="164" spans="2:8" ht="15" customHeight="1">
      <c r="B164" t="s">
        <v>4</v>
      </c>
      <c r="C164" t="s">
        <v>31</v>
      </c>
      <c r="D164" s="3">
        <v>4</v>
      </c>
      <c r="E164" s="7">
        <v>4</v>
      </c>
      <c r="F164">
        <v>20</v>
      </c>
      <c r="G164">
        <v>130</v>
      </c>
      <c r="H164" s="7">
        <v>1.5</v>
      </c>
    </row>
    <row r="165" spans="2:8" ht="15" customHeight="1">
      <c r="B165" t="s">
        <v>5</v>
      </c>
      <c r="C165" t="s">
        <v>32</v>
      </c>
      <c r="D165" s="3">
        <v>19</v>
      </c>
      <c r="E165" s="7">
        <v>19</v>
      </c>
      <c r="F165">
        <v>10</v>
      </c>
      <c r="G165">
        <v>170</v>
      </c>
      <c r="H165" s="7">
        <v>6</v>
      </c>
    </row>
    <row r="166" spans="2:8" ht="15" customHeight="1">
      <c r="B166" t="s">
        <v>6</v>
      </c>
      <c r="C166" t="s">
        <v>33</v>
      </c>
      <c r="D166" s="3">
        <v>4</v>
      </c>
      <c r="E166" s="7">
        <v>4</v>
      </c>
      <c r="F166">
        <v>10</v>
      </c>
      <c r="G166">
        <v>170</v>
      </c>
      <c r="H166" s="7">
        <v>1.5</v>
      </c>
    </row>
    <row r="167" spans="2:8" ht="15" customHeight="1">
      <c r="B167" t="s">
        <v>8</v>
      </c>
      <c r="C167" t="s">
        <v>34</v>
      </c>
      <c r="D167" s="3">
        <v>5.5</v>
      </c>
      <c r="E167" s="7">
        <v>5.5</v>
      </c>
      <c r="F167">
        <v>20</v>
      </c>
      <c r="G167">
        <v>130</v>
      </c>
      <c r="H167" s="7">
        <v>2</v>
      </c>
    </row>
    <row r="168" spans="2:8" ht="15" customHeight="1">
      <c r="B168" t="s">
        <v>8</v>
      </c>
      <c r="C168" t="s">
        <v>35</v>
      </c>
      <c r="D168" s="3">
        <v>3</v>
      </c>
      <c r="E168" s="7">
        <v>3</v>
      </c>
      <c r="F168">
        <v>20</v>
      </c>
      <c r="G168">
        <v>130</v>
      </c>
      <c r="H168" s="7">
        <v>1</v>
      </c>
    </row>
    <row r="169" spans="2:8" ht="15" customHeight="1">
      <c r="D169" s="3"/>
      <c r="E169" s="7"/>
      <c r="H169" s="1" t="s">
        <v>120</v>
      </c>
    </row>
    <row r="170" spans="2:8" ht="15" customHeight="1">
      <c r="B170" t="s">
        <v>42</v>
      </c>
      <c r="C170" s="7" t="s">
        <v>36</v>
      </c>
      <c r="D170" s="15">
        <v>26.5</v>
      </c>
      <c r="E170" s="15">
        <v>23</v>
      </c>
      <c r="F170">
        <v>8</v>
      </c>
      <c r="G170">
        <v>45</v>
      </c>
    </row>
    <row r="171" spans="2:8" ht="15" customHeight="1">
      <c r="B171" t="s">
        <v>42</v>
      </c>
      <c r="C171" s="7" t="s">
        <v>37</v>
      </c>
      <c r="D171" s="15">
        <v>11.5</v>
      </c>
      <c r="E171" s="15">
        <v>10</v>
      </c>
      <c r="F171">
        <v>8</v>
      </c>
      <c r="G171">
        <v>45</v>
      </c>
      <c r="H171" t="s">
        <v>29</v>
      </c>
    </row>
    <row r="172" spans="2:8" ht="15" customHeight="1">
      <c r="B172" t="s">
        <v>42</v>
      </c>
      <c r="C172" s="7" t="s">
        <v>38</v>
      </c>
      <c r="D172" s="15">
        <v>75</v>
      </c>
      <c r="E172" s="15">
        <v>65.5</v>
      </c>
      <c r="F172">
        <v>8</v>
      </c>
      <c r="G172">
        <v>45</v>
      </c>
    </row>
    <row r="173" spans="2:8" ht="15" customHeight="1">
      <c r="B173" t="s">
        <v>42</v>
      </c>
      <c r="C173" s="7" t="s">
        <v>39</v>
      </c>
      <c r="D173" s="15">
        <v>57.5</v>
      </c>
      <c r="E173" s="15">
        <v>45</v>
      </c>
      <c r="F173">
        <v>8</v>
      </c>
      <c r="G173">
        <v>45</v>
      </c>
      <c r="H173" t="s">
        <v>29</v>
      </c>
    </row>
    <row r="174" spans="2:8" ht="15" customHeight="1">
      <c r="B174" t="s">
        <v>42</v>
      </c>
      <c r="C174" s="7" t="s">
        <v>40</v>
      </c>
      <c r="D174" s="15">
        <v>75</v>
      </c>
      <c r="E174" s="15">
        <v>65.5</v>
      </c>
      <c r="F174">
        <v>8</v>
      </c>
      <c r="G174">
        <v>45</v>
      </c>
      <c r="H174" t="s">
        <v>29</v>
      </c>
    </row>
    <row r="175" spans="2:8" ht="15" customHeight="1">
      <c r="B175" t="s">
        <v>42</v>
      </c>
      <c r="C175" s="7" t="s">
        <v>41</v>
      </c>
      <c r="D175" s="15">
        <v>26.5</v>
      </c>
      <c r="E175" s="15">
        <v>23</v>
      </c>
      <c r="F175">
        <v>8</v>
      </c>
      <c r="G175">
        <v>45</v>
      </c>
      <c r="H175" t="s">
        <v>29</v>
      </c>
    </row>
    <row r="176" spans="2:8" ht="15" customHeight="1"/>
    <row r="177" spans="2:9" ht="15" customHeight="1">
      <c r="B177" s="52" t="s">
        <v>137</v>
      </c>
      <c r="C177" s="52" t="s">
        <v>169</v>
      </c>
      <c r="D177" s="54" t="s">
        <v>134</v>
      </c>
      <c r="E177" s="54" t="s">
        <v>156</v>
      </c>
      <c r="F177" s="54" t="s">
        <v>135</v>
      </c>
      <c r="G177" s="54" t="s">
        <v>136</v>
      </c>
      <c r="H177" s="57"/>
      <c r="I177" s="57" t="str">
        <f>""</f>
        <v/>
      </c>
    </row>
    <row r="178" spans="2:9" ht="15" customHeight="1">
      <c r="B178" s="55" t="s">
        <v>44</v>
      </c>
      <c r="C178" s="55" t="s">
        <v>44</v>
      </c>
      <c r="D178" s="56">
        <v>0</v>
      </c>
      <c r="E178" s="54">
        <v>0</v>
      </c>
      <c r="F178" s="54">
        <v>0</v>
      </c>
      <c r="G178" s="54">
        <v>0</v>
      </c>
      <c r="H178" s="57"/>
      <c r="I178" s="57" t="str">
        <f>""</f>
        <v/>
      </c>
    </row>
    <row r="179" spans="2:9" ht="15" customHeight="1">
      <c r="B179" s="55"/>
      <c r="C179" s="55"/>
      <c r="D179" s="56"/>
      <c r="E179" s="54"/>
      <c r="F179" s="54"/>
      <c r="G179" s="54"/>
      <c r="H179" s="57"/>
      <c r="I179" s="57" t="str">
        <f>""</f>
        <v/>
      </c>
    </row>
    <row r="180" spans="2:9" ht="15" customHeight="1">
      <c r="B180" s="57" t="s">
        <v>12</v>
      </c>
      <c r="C180" s="57" t="s">
        <v>157</v>
      </c>
      <c r="D180" s="56">
        <v>500</v>
      </c>
      <c r="E180" s="56">
        <v>450</v>
      </c>
      <c r="F180" s="58">
        <f>D180+E180</f>
        <v>950</v>
      </c>
      <c r="G180" s="56">
        <v>0</v>
      </c>
      <c r="H180" s="57"/>
      <c r="I180" s="57" t="str">
        <f>""</f>
        <v/>
      </c>
    </row>
    <row r="181" spans="2:9" ht="15" customHeight="1">
      <c r="B181" s="57" t="s">
        <v>12</v>
      </c>
      <c r="C181" s="57" t="s">
        <v>158</v>
      </c>
      <c r="D181" s="58">
        <v>500</v>
      </c>
      <c r="E181" s="58">
        <v>450</v>
      </c>
      <c r="F181" s="58">
        <f>D181+E181</f>
        <v>950</v>
      </c>
      <c r="G181" s="58">
        <v>0</v>
      </c>
      <c r="H181" s="57"/>
      <c r="I181" s="57" t="str">
        <f>""</f>
        <v/>
      </c>
    </row>
    <row r="182" spans="2:9" ht="15" customHeight="1">
      <c r="B182" s="57" t="s">
        <v>12</v>
      </c>
      <c r="C182" s="57" t="s">
        <v>159</v>
      </c>
      <c r="D182" s="58">
        <v>500</v>
      </c>
      <c r="E182" s="58">
        <v>225</v>
      </c>
      <c r="F182" s="58">
        <f t="shared" ref="F182:F236" si="3">D182+E182</f>
        <v>725</v>
      </c>
      <c r="G182" s="58">
        <v>0</v>
      </c>
      <c r="H182" s="57"/>
      <c r="I182" s="57" t="str">
        <f>""</f>
        <v/>
      </c>
    </row>
    <row r="183" spans="2:9" ht="15" customHeight="1">
      <c r="B183" s="57" t="s">
        <v>12</v>
      </c>
      <c r="C183" s="57" t="s">
        <v>160</v>
      </c>
      <c r="D183" s="58">
        <v>500</v>
      </c>
      <c r="E183" s="58">
        <v>0</v>
      </c>
      <c r="F183" s="58">
        <f t="shared" si="3"/>
        <v>500</v>
      </c>
      <c r="G183" s="58">
        <v>0</v>
      </c>
      <c r="H183" s="57"/>
      <c r="I183" s="57" t="str">
        <f>""</f>
        <v/>
      </c>
    </row>
    <row r="184" spans="2:9" ht="15" customHeight="1">
      <c r="B184" s="57"/>
      <c r="C184" s="57"/>
      <c r="D184" s="58"/>
      <c r="E184" s="58"/>
      <c r="F184" s="58"/>
      <c r="G184" s="58"/>
      <c r="H184" s="57"/>
      <c r="I184" s="57" t="str">
        <f>""</f>
        <v/>
      </c>
    </row>
    <row r="185" spans="2:9" ht="15" customHeight="1">
      <c r="B185" s="57" t="s">
        <v>143</v>
      </c>
      <c r="C185" s="57" t="s">
        <v>161</v>
      </c>
      <c r="D185" s="58">
        <v>1650</v>
      </c>
      <c r="E185" s="58">
        <v>450</v>
      </c>
      <c r="F185" s="58">
        <f t="shared" si="3"/>
        <v>2100</v>
      </c>
      <c r="G185" s="58">
        <v>150</v>
      </c>
      <c r="H185" s="57" t="s">
        <v>25</v>
      </c>
      <c r="I185" s="57" t="str">
        <f>""</f>
        <v/>
      </c>
    </row>
    <row r="186" spans="2:9" ht="15" customHeight="1">
      <c r="B186" s="57" t="s">
        <v>143</v>
      </c>
      <c r="C186" s="57" t="s">
        <v>162</v>
      </c>
      <c r="D186" s="58">
        <v>1650</v>
      </c>
      <c r="E186" s="58">
        <v>450</v>
      </c>
      <c r="F186" s="58">
        <f t="shared" si="3"/>
        <v>2100</v>
      </c>
      <c r="G186" s="58">
        <v>150</v>
      </c>
      <c r="H186" s="57" t="s">
        <v>25</v>
      </c>
      <c r="I186" s="57" t="str">
        <f>""</f>
        <v/>
      </c>
    </row>
    <row r="187" spans="2:9" ht="15" customHeight="1">
      <c r="B187" s="57" t="s">
        <v>143</v>
      </c>
      <c r="C187" s="57" t="s">
        <v>163</v>
      </c>
      <c r="D187" s="58">
        <v>1650</v>
      </c>
      <c r="E187" s="58">
        <v>225</v>
      </c>
      <c r="F187" s="58">
        <f t="shared" si="3"/>
        <v>1875</v>
      </c>
      <c r="G187" s="58">
        <v>150</v>
      </c>
      <c r="H187" s="57" t="s">
        <v>25</v>
      </c>
      <c r="I187" s="57" t="str">
        <f>""</f>
        <v/>
      </c>
    </row>
    <row r="188" spans="2:9" ht="15" customHeight="1">
      <c r="B188" s="57" t="s">
        <v>143</v>
      </c>
      <c r="C188" s="57" t="s">
        <v>164</v>
      </c>
      <c r="D188" s="58">
        <v>1650</v>
      </c>
      <c r="E188" s="58">
        <v>0</v>
      </c>
      <c r="F188" s="58">
        <f t="shared" si="3"/>
        <v>1650</v>
      </c>
      <c r="G188" s="58">
        <v>150</v>
      </c>
      <c r="H188" s="57" t="s">
        <v>25</v>
      </c>
      <c r="I188" s="57" t="str">
        <f>""</f>
        <v/>
      </c>
    </row>
    <row r="189" spans="2:9" ht="15" customHeight="1">
      <c r="B189" s="57"/>
      <c r="C189" s="57"/>
      <c r="D189" s="58"/>
      <c r="E189" s="58"/>
      <c r="F189" s="58"/>
      <c r="G189" s="58"/>
      <c r="H189" s="57"/>
      <c r="I189" s="57" t="str">
        <f>""</f>
        <v/>
      </c>
    </row>
    <row r="190" spans="2:9" ht="15" customHeight="1">
      <c r="B190" s="58" t="s">
        <v>144</v>
      </c>
      <c r="C190" s="57" t="s">
        <v>299</v>
      </c>
      <c r="D190" s="58">
        <f>1650+(71-1)*150</f>
        <v>12150</v>
      </c>
      <c r="E190" s="58">
        <v>0</v>
      </c>
      <c r="F190" s="58">
        <f t="shared" si="3"/>
        <v>12150</v>
      </c>
      <c r="G190" s="58">
        <v>150</v>
      </c>
      <c r="H190" s="58" t="s">
        <v>149</v>
      </c>
      <c r="I190" s="57"/>
    </row>
    <row r="191" spans="2:9" ht="15" customHeight="1">
      <c r="B191" s="58" t="s">
        <v>144</v>
      </c>
      <c r="C191" s="57" t="s">
        <v>165</v>
      </c>
      <c r="D191" s="58">
        <f>1650+(71-1)*150</f>
        <v>12150</v>
      </c>
      <c r="E191" s="58">
        <v>0</v>
      </c>
      <c r="F191" s="58">
        <f t="shared" si="3"/>
        <v>12150</v>
      </c>
      <c r="G191" s="58">
        <v>150</v>
      </c>
      <c r="H191" s="58" t="s">
        <v>149</v>
      </c>
      <c r="I191" s="57" t="str">
        <f>""</f>
        <v/>
      </c>
    </row>
    <row r="192" spans="2:9" ht="15" customHeight="1">
      <c r="B192" s="58" t="s">
        <v>144</v>
      </c>
      <c r="C192" s="57" t="s">
        <v>166</v>
      </c>
      <c r="D192" s="58">
        <f t="shared" ref="D192:D194" si="4">1650+(71-1)*150</f>
        <v>12150</v>
      </c>
      <c r="E192" s="58">
        <v>0</v>
      </c>
      <c r="F192" s="58">
        <f t="shared" si="3"/>
        <v>12150</v>
      </c>
      <c r="G192" s="58">
        <v>150</v>
      </c>
      <c r="H192" s="58" t="s">
        <v>149</v>
      </c>
      <c r="I192" s="57" t="str">
        <f>""</f>
        <v/>
      </c>
    </row>
    <row r="193" spans="2:9" ht="15" customHeight="1">
      <c r="B193" s="58" t="s">
        <v>144</v>
      </c>
      <c r="C193" s="57" t="s">
        <v>167</v>
      </c>
      <c r="D193" s="58">
        <f t="shared" si="4"/>
        <v>12150</v>
      </c>
      <c r="E193" s="58">
        <v>0</v>
      </c>
      <c r="F193" s="58">
        <f t="shared" si="3"/>
        <v>12150</v>
      </c>
      <c r="G193" s="58">
        <v>150</v>
      </c>
      <c r="H193" s="58" t="s">
        <v>149</v>
      </c>
      <c r="I193" s="57" t="str">
        <f>""</f>
        <v/>
      </c>
    </row>
    <row r="194" spans="2:9" ht="15" customHeight="1">
      <c r="B194" s="58" t="s">
        <v>144</v>
      </c>
      <c r="C194" s="57" t="s">
        <v>168</v>
      </c>
      <c r="D194" s="58">
        <f t="shared" si="4"/>
        <v>12150</v>
      </c>
      <c r="E194" s="58">
        <v>0</v>
      </c>
      <c r="F194" s="58">
        <f t="shared" si="3"/>
        <v>12150</v>
      </c>
      <c r="G194" s="58">
        <v>150</v>
      </c>
      <c r="H194" s="58" t="s">
        <v>149</v>
      </c>
      <c r="I194" s="57" t="str">
        <f>""</f>
        <v/>
      </c>
    </row>
    <row r="195" spans="2:9" ht="15" customHeight="1">
      <c r="B195" s="58"/>
      <c r="C195" s="58"/>
      <c r="D195" s="58"/>
      <c r="E195" s="58"/>
      <c r="F195" s="58"/>
      <c r="G195" s="58"/>
      <c r="H195" s="58"/>
      <c r="I195" s="57" t="str">
        <f>""</f>
        <v/>
      </c>
    </row>
    <row r="196" spans="2:9" ht="15" customHeight="1">
      <c r="B196" s="57" t="s">
        <v>13</v>
      </c>
      <c r="C196" s="57" t="s">
        <v>170</v>
      </c>
      <c r="D196" s="58">
        <v>500</v>
      </c>
      <c r="E196" s="58">
        <v>450</v>
      </c>
      <c r="F196" s="58">
        <f t="shared" si="3"/>
        <v>950</v>
      </c>
      <c r="G196" s="58">
        <v>0</v>
      </c>
      <c r="H196" s="58"/>
      <c r="I196" s="57" t="str">
        <f>""</f>
        <v/>
      </c>
    </row>
    <row r="197" spans="2:9" ht="15" customHeight="1">
      <c r="B197" s="57" t="s">
        <v>13</v>
      </c>
      <c r="C197" s="57" t="s">
        <v>171</v>
      </c>
      <c r="D197" s="58">
        <v>500</v>
      </c>
      <c r="E197" s="58">
        <v>450</v>
      </c>
      <c r="F197" s="58">
        <f t="shared" si="3"/>
        <v>950</v>
      </c>
      <c r="G197" s="58">
        <v>0</v>
      </c>
      <c r="H197" s="57"/>
      <c r="I197" s="57" t="str">
        <f>""</f>
        <v/>
      </c>
    </row>
    <row r="198" spans="2:9" ht="15" customHeight="1">
      <c r="B198" s="57" t="s">
        <v>13</v>
      </c>
      <c r="C198" s="57" t="s">
        <v>172</v>
      </c>
      <c r="D198" s="58">
        <v>500</v>
      </c>
      <c r="E198" s="58">
        <v>225</v>
      </c>
      <c r="F198" s="58">
        <f t="shared" si="3"/>
        <v>725</v>
      </c>
      <c r="G198" s="58">
        <v>0</v>
      </c>
      <c r="H198" s="57"/>
      <c r="I198" s="57" t="str">
        <f>""</f>
        <v/>
      </c>
    </row>
    <row r="199" spans="2:9" ht="15" customHeight="1">
      <c r="B199" s="57" t="s">
        <v>13</v>
      </c>
      <c r="C199" s="57" t="s">
        <v>173</v>
      </c>
      <c r="D199" s="58">
        <v>500</v>
      </c>
      <c r="E199" s="58">
        <v>0</v>
      </c>
      <c r="F199" s="58">
        <f t="shared" si="3"/>
        <v>500</v>
      </c>
      <c r="G199" s="58">
        <v>0</v>
      </c>
      <c r="H199" s="57"/>
      <c r="I199" s="57" t="str">
        <f>""</f>
        <v/>
      </c>
    </row>
    <row r="200" spans="2:9" ht="15" customHeight="1">
      <c r="B200" s="57"/>
      <c r="C200" s="57"/>
      <c r="D200" s="58"/>
      <c r="E200" s="58"/>
      <c r="F200" s="58"/>
      <c r="G200" s="58"/>
      <c r="H200" s="57"/>
      <c r="I200" s="57" t="str">
        <f>""</f>
        <v/>
      </c>
    </row>
    <row r="201" spans="2:9" ht="15" customHeight="1">
      <c r="B201" s="57" t="s">
        <v>14</v>
      </c>
      <c r="C201" s="57" t="s">
        <v>174</v>
      </c>
      <c r="D201" s="58">
        <v>3750</v>
      </c>
      <c r="E201" s="58">
        <v>450</v>
      </c>
      <c r="F201" s="58">
        <f t="shared" si="3"/>
        <v>4200</v>
      </c>
      <c r="G201" s="58">
        <v>0</v>
      </c>
      <c r="H201" s="57"/>
      <c r="I201" s="57" t="str">
        <f>""</f>
        <v/>
      </c>
    </row>
    <row r="202" spans="2:9" ht="15" customHeight="1">
      <c r="B202" s="57" t="s">
        <v>14</v>
      </c>
      <c r="C202" s="57" t="s">
        <v>175</v>
      </c>
      <c r="D202" s="58">
        <v>3750</v>
      </c>
      <c r="E202" s="58">
        <v>450</v>
      </c>
      <c r="F202" s="58">
        <f t="shared" si="3"/>
        <v>4200</v>
      </c>
      <c r="G202" s="58">
        <v>0</v>
      </c>
      <c r="H202" s="57"/>
      <c r="I202" s="57" t="str">
        <f>""</f>
        <v/>
      </c>
    </row>
    <row r="203" spans="2:9" ht="15" customHeight="1">
      <c r="B203" s="57" t="s">
        <v>14</v>
      </c>
      <c r="C203" s="57" t="s">
        <v>176</v>
      </c>
      <c r="D203" s="58">
        <v>3750</v>
      </c>
      <c r="E203" s="58">
        <v>225</v>
      </c>
      <c r="F203" s="58">
        <f t="shared" si="3"/>
        <v>3975</v>
      </c>
      <c r="G203" s="58">
        <v>0</v>
      </c>
      <c r="H203" s="57"/>
      <c r="I203" s="57" t="str">
        <f>""</f>
        <v/>
      </c>
    </row>
    <row r="204" spans="2:9" ht="15" customHeight="1">
      <c r="B204" s="57" t="s">
        <v>14</v>
      </c>
      <c r="C204" s="57" t="s">
        <v>177</v>
      </c>
      <c r="D204" s="58">
        <v>3750</v>
      </c>
      <c r="E204" s="58">
        <v>0</v>
      </c>
      <c r="F204" s="58">
        <f t="shared" si="3"/>
        <v>3750</v>
      </c>
      <c r="G204" s="58">
        <v>0</v>
      </c>
      <c r="H204" s="57"/>
      <c r="I204" s="57" t="str">
        <f>""</f>
        <v/>
      </c>
    </row>
    <row r="205" spans="2:9" ht="15" customHeight="1">
      <c r="B205" s="57"/>
      <c r="C205" s="57"/>
      <c r="D205" s="58"/>
      <c r="E205" s="58"/>
      <c r="F205" s="58"/>
      <c r="G205" s="58"/>
      <c r="H205" s="57"/>
      <c r="I205" s="57" t="str">
        <f>""</f>
        <v/>
      </c>
    </row>
    <row r="206" spans="2:9" ht="15" customHeight="1">
      <c r="B206" s="57" t="s">
        <v>147</v>
      </c>
      <c r="C206" s="57" t="s">
        <v>178</v>
      </c>
      <c r="D206" s="58">
        <v>3750</v>
      </c>
      <c r="E206" s="58">
        <v>450</v>
      </c>
      <c r="F206" s="58">
        <f t="shared" si="3"/>
        <v>4200</v>
      </c>
      <c r="G206" s="58">
        <v>150</v>
      </c>
      <c r="H206" s="58" t="s">
        <v>24</v>
      </c>
      <c r="I206" s="57" t="str">
        <f>""</f>
        <v/>
      </c>
    </row>
    <row r="207" spans="2:9" ht="15" customHeight="1">
      <c r="B207" s="57" t="s">
        <v>147</v>
      </c>
      <c r="C207" s="57" t="s">
        <v>179</v>
      </c>
      <c r="D207" s="58">
        <v>3750</v>
      </c>
      <c r="E207" s="58">
        <v>450</v>
      </c>
      <c r="F207" s="58">
        <f t="shared" si="3"/>
        <v>4200</v>
      </c>
      <c r="G207" s="58">
        <v>150</v>
      </c>
      <c r="H207" s="58" t="s">
        <v>24</v>
      </c>
      <c r="I207" s="57" t="str">
        <f>""</f>
        <v/>
      </c>
    </row>
    <row r="208" spans="2:9" ht="15" customHeight="1">
      <c r="B208" s="57" t="s">
        <v>147</v>
      </c>
      <c r="C208" s="57" t="s">
        <v>180</v>
      </c>
      <c r="D208" s="58">
        <v>3750</v>
      </c>
      <c r="E208" s="58">
        <v>225</v>
      </c>
      <c r="F208" s="58">
        <f t="shared" si="3"/>
        <v>3975</v>
      </c>
      <c r="G208" s="58">
        <v>150</v>
      </c>
      <c r="H208" s="58" t="s">
        <v>24</v>
      </c>
      <c r="I208" s="57" t="str">
        <f>""</f>
        <v/>
      </c>
    </row>
    <row r="209" spans="2:9" ht="15" customHeight="1">
      <c r="B209" s="57" t="s">
        <v>147</v>
      </c>
      <c r="C209" s="57" t="s">
        <v>181</v>
      </c>
      <c r="D209" s="58">
        <v>3750</v>
      </c>
      <c r="E209" s="58">
        <v>0</v>
      </c>
      <c r="F209" s="58">
        <f t="shared" si="3"/>
        <v>3750</v>
      </c>
      <c r="G209" s="58">
        <v>150</v>
      </c>
      <c r="H209" s="58" t="s">
        <v>24</v>
      </c>
      <c r="I209" s="57" t="str">
        <f>""</f>
        <v/>
      </c>
    </row>
    <row r="210" spans="2:9" ht="15" customHeight="1">
      <c r="B210" s="57"/>
      <c r="C210" s="57"/>
      <c r="D210" s="58"/>
      <c r="E210" s="58"/>
      <c r="F210" s="58"/>
      <c r="G210" s="58"/>
      <c r="H210" s="58"/>
      <c r="I210" s="57" t="str">
        <f>""</f>
        <v/>
      </c>
    </row>
    <row r="211" spans="2:9" ht="15" customHeight="1">
      <c r="B211" s="58" t="s">
        <v>148</v>
      </c>
      <c r="C211" s="57" t="s">
        <v>300</v>
      </c>
      <c r="D211" s="58">
        <f>3750+(71-10)*150</f>
        <v>12900</v>
      </c>
      <c r="E211" s="58">
        <v>0</v>
      </c>
      <c r="F211" s="58">
        <f t="shared" si="3"/>
        <v>12900</v>
      </c>
      <c r="G211" s="58">
        <v>150</v>
      </c>
      <c r="H211" s="58" t="s">
        <v>149</v>
      </c>
      <c r="I211" s="57" t="str">
        <f>""</f>
        <v/>
      </c>
    </row>
    <row r="212" spans="2:9" ht="15" customHeight="1">
      <c r="B212" s="58" t="s">
        <v>148</v>
      </c>
      <c r="C212" s="57" t="s">
        <v>182</v>
      </c>
      <c r="D212" s="58">
        <f>3750+(71-10)*150</f>
        <v>12900</v>
      </c>
      <c r="E212" s="58">
        <v>0</v>
      </c>
      <c r="F212" s="58">
        <f t="shared" si="3"/>
        <v>12900</v>
      </c>
      <c r="G212" s="58">
        <v>150</v>
      </c>
      <c r="H212" s="58" t="s">
        <v>149</v>
      </c>
      <c r="I212" s="57" t="str">
        <f>""</f>
        <v/>
      </c>
    </row>
    <row r="213" spans="2:9" ht="15" customHeight="1">
      <c r="B213" s="58" t="s">
        <v>148</v>
      </c>
      <c r="C213" s="57" t="s">
        <v>183</v>
      </c>
      <c r="D213" s="58">
        <f t="shared" ref="D213:D215" si="5">3750+(71-10)*150</f>
        <v>12900</v>
      </c>
      <c r="E213" s="58">
        <v>0</v>
      </c>
      <c r="F213" s="58">
        <f t="shared" si="3"/>
        <v>12900</v>
      </c>
      <c r="G213" s="58">
        <v>150</v>
      </c>
      <c r="H213" s="58" t="s">
        <v>149</v>
      </c>
      <c r="I213" s="57" t="str">
        <f>""</f>
        <v/>
      </c>
    </row>
    <row r="214" spans="2:9" ht="15" customHeight="1">
      <c r="B214" s="58" t="s">
        <v>148</v>
      </c>
      <c r="C214" s="57" t="s">
        <v>246</v>
      </c>
      <c r="D214" s="58">
        <f t="shared" si="5"/>
        <v>12900</v>
      </c>
      <c r="E214" s="58">
        <v>0</v>
      </c>
      <c r="F214" s="58">
        <f t="shared" si="3"/>
        <v>12900</v>
      </c>
      <c r="G214" s="58">
        <v>150</v>
      </c>
      <c r="H214" s="58" t="s">
        <v>149</v>
      </c>
      <c r="I214" s="57" t="str">
        <f>""</f>
        <v/>
      </c>
    </row>
    <row r="215" spans="2:9" ht="15" customHeight="1">
      <c r="B215" s="58" t="s">
        <v>148</v>
      </c>
      <c r="C215" s="57" t="s">
        <v>184</v>
      </c>
      <c r="D215" s="58">
        <f t="shared" si="5"/>
        <v>12900</v>
      </c>
      <c r="E215" s="58">
        <v>0</v>
      </c>
      <c r="F215" s="58">
        <f t="shared" si="3"/>
        <v>12900</v>
      </c>
      <c r="G215" s="58">
        <v>150</v>
      </c>
      <c r="H215" s="58" t="s">
        <v>149</v>
      </c>
      <c r="I215" s="57" t="str">
        <f>""</f>
        <v/>
      </c>
    </row>
    <row r="216" spans="2:9" ht="15" customHeight="1">
      <c r="B216" s="58"/>
      <c r="C216" s="58"/>
      <c r="D216" s="58"/>
      <c r="E216" s="58"/>
      <c r="F216" s="58"/>
      <c r="G216" s="58"/>
      <c r="H216" s="58"/>
      <c r="I216" s="57" t="str">
        <f>""</f>
        <v/>
      </c>
    </row>
    <row r="217" spans="2:9" ht="15" customHeight="1">
      <c r="B217" s="57" t="s">
        <v>15</v>
      </c>
      <c r="C217" s="57" t="s">
        <v>185</v>
      </c>
      <c r="D217" s="58">
        <v>500</v>
      </c>
      <c r="E217" s="58">
        <v>450</v>
      </c>
      <c r="F217" s="58">
        <f t="shared" si="3"/>
        <v>950</v>
      </c>
      <c r="G217" s="58">
        <v>0</v>
      </c>
      <c r="H217" s="58"/>
      <c r="I217" s="57" t="str">
        <f>""</f>
        <v/>
      </c>
    </row>
    <row r="218" spans="2:9" ht="15" customHeight="1">
      <c r="B218" s="57" t="s">
        <v>15</v>
      </c>
      <c r="C218" s="57" t="s">
        <v>186</v>
      </c>
      <c r="D218" s="58">
        <v>500</v>
      </c>
      <c r="E218" s="58">
        <v>450</v>
      </c>
      <c r="F218" s="58">
        <f t="shared" si="3"/>
        <v>950</v>
      </c>
      <c r="G218" s="58">
        <v>0</v>
      </c>
      <c r="H218" s="57"/>
      <c r="I218" s="57" t="str">
        <f>""</f>
        <v/>
      </c>
    </row>
    <row r="219" spans="2:9" ht="15" customHeight="1">
      <c r="B219" s="57" t="s">
        <v>15</v>
      </c>
      <c r="C219" s="57" t="s">
        <v>187</v>
      </c>
      <c r="D219" s="58">
        <v>500</v>
      </c>
      <c r="E219" s="58">
        <v>225</v>
      </c>
      <c r="F219" s="58">
        <f t="shared" si="3"/>
        <v>725</v>
      </c>
      <c r="G219" s="58">
        <v>0</v>
      </c>
      <c r="H219" s="57"/>
      <c r="I219" s="57" t="str">
        <f>""</f>
        <v/>
      </c>
    </row>
    <row r="220" spans="2:9" ht="15" customHeight="1">
      <c r="B220" s="57" t="s">
        <v>15</v>
      </c>
      <c r="C220" s="57" t="s">
        <v>188</v>
      </c>
      <c r="D220" s="58">
        <v>500</v>
      </c>
      <c r="E220" s="58">
        <v>0</v>
      </c>
      <c r="F220" s="58">
        <f t="shared" si="3"/>
        <v>500</v>
      </c>
      <c r="G220" s="58">
        <v>0</v>
      </c>
      <c r="H220" s="57"/>
      <c r="I220" s="57" t="str">
        <f>""</f>
        <v/>
      </c>
    </row>
    <row r="221" spans="2:9" ht="15" customHeight="1">
      <c r="B221" s="57"/>
      <c r="C221" s="57"/>
      <c r="D221" s="58"/>
      <c r="E221" s="58"/>
      <c r="F221" s="58"/>
      <c r="G221" s="58"/>
      <c r="H221" s="57"/>
      <c r="I221" s="57" t="str">
        <f>""</f>
        <v/>
      </c>
    </row>
    <row r="222" spans="2:9" ht="15" customHeight="1">
      <c r="B222" s="57" t="s">
        <v>16</v>
      </c>
      <c r="C222" s="57" t="s">
        <v>189</v>
      </c>
      <c r="D222" s="58">
        <v>3750</v>
      </c>
      <c r="E222" s="58">
        <v>450</v>
      </c>
      <c r="F222" s="58">
        <f t="shared" si="3"/>
        <v>4200</v>
      </c>
      <c r="G222" s="58">
        <v>0</v>
      </c>
      <c r="H222" s="57"/>
      <c r="I222" s="57" t="str">
        <f>""</f>
        <v/>
      </c>
    </row>
    <row r="223" spans="2:9" ht="15" customHeight="1">
      <c r="B223" s="57" t="s">
        <v>16</v>
      </c>
      <c r="C223" s="57" t="s">
        <v>190</v>
      </c>
      <c r="D223" s="58">
        <v>3750</v>
      </c>
      <c r="E223" s="58">
        <v>450</v>
      </c>
      <c r="F223" s="58">
        <f t="shared" si="3"/>
        <v>4200</v>
      </c>
      <c r="G223" s="58">
        <v>0</v>
      </c>
      <c r="H223" s="57"/>
      <c r="I223" s="57" t="str">
        <f>""</f>
        <v/>
      </c>
    </row>
    <row r="224" spans="2:9" ht="15" customHeight="1">
      <c r="B224" s="57" t="s">
        <v>16</v>
      </c>
      <c r="C224" s="57" t="s">
        <v>191</v>
      </c>
      <c r="D224" s="58">
        <v>3750</v>
      </c>
      <c r="E224" s="58">
        <v>225</v>
      </c>
      <c r="F224" s="58">
        <f t="shared" si="3"/>
        <v>3975</v>
      </c>
      <c r="G224" s="58">
        <v>0</v>
      </c>
      <c r="H224" s="57"/>
      <c r="I224" s="57" t="str">
        <f>""</f>
        <v/>
      </c>
    </row>
    <row r="225" spans="2:9" ht="15" customHeight="1">
      <c r="B225" s="57" t="s">
        <v>16</v>
      </c>
      <c r="C225" s="57" t="s">
        <v>192</v>
      </c>
      <c r="D225" s="58">
        <v>3750</v>
      </c>
      <c r="E225" s="58">
        <v>0</v>
      </c>
      <c r="F225" s="58">
        <f t="shared" si="3"/>
        <v>3750</v>
      </c>
      <c r="G225" s="58">
        <v>0</v>
      </c>
      <c r="H225" s="57"/>
      <c r="I225" s="57" t="str">
        <f>""</f>
        <v/>
      </c>
    </row>
    <row r="226" spans="2:9" ht="15" customHeight="1">
      <c r="B226" s="57"/>
      <c r="C226" s="57"/>
      <c r="D226" s="58"/>
      <c r="E226" s="58"/>
      <c r="F226" s="58"/>
      <c r="G226" s="58"/>
      <c r="H226" s="57"/>
      <c r="I226" s="57" t="str">
        <f>""</f>
        <v/>
      </c>
    </row>
    <row r="227" spans="2:9" ht="15" customHeight="1">
      <c r="B227" s="57" t="s">
        <v>146</v>
      </c>
      <c r="C227" s="57" t="s">
        <v>193</v>
      </c>
      <c r="D227" s="58">
        <v>3750</v>
      </c>
      <c r="E227" s="58">
        <v>450</v>
      </c>
      <c r="F227" s="58">
        <f t="shared" si="3"/>
        <v>4200</v>
      </c>
      <c r="G227" s="58">
        <v>150</v>
      </c>
      <c r="H227" s="58" t="s">
        <v>24</v>
      </c>
      <c r="I227" s="57" t="str">
        <f>""</f>
        <v/>
      </c>
    </row>
    <row r="228" spans="2:9" ht="15" customHeight="1">
      <c r="B228" s="57" t="s">
        <v>146</v>
      </c>
      <c r="C228" s="57" t="s">
        <v>194</v>
      </c>
      <c r="D228" s="58">
        <v>3750</v>
      </c>
      <c r="E228" s="58">
        <v>450</v>
      </c>
      <c r="F228" s="58">
        <f t="shared" si="3"/>
        <v>4200</v>
      </c>
      <c r="G228" s="58">
        <v>150</v>
      </c>
      <c r="H228" s="58" t="s">
        <v>24</v>
      </c>
      <c r="I228" s="57" t="str">
        <f>""</f>
        <v/>
      </c>
    </row>
    <row r="229" spans="2:9" ht="15" customHeight="1">
      <c r="B229" s="57" t="s">
        <v>146</v>
      </c>
      <c r="C229" s="57" t="s">
        <v>195</v>
      </c>
      <c r="D229" s="58">
        <v>3750</v>
      </c>
      <c r="E229" s="58">
        <v>225</v>
      </c>
      <c r="F229" s="58">
        <f t="shared" si="3"/>
        <v>3975</v>
      </c>
      <c r="G229" s="58">
        <v>150</v>
      </c>
      <c r="H229" s="58" t="s">
        <v>24</v>
      </c>
      <c r="I229" s="57" t="str">
        <f>""</f>
        <v/>
      </c>
    </row>
    <row r="230" spans="2:9" ht="15" customHeight="1">
      <c r="B230" s="57" t="s">
        <v>146</v>
      </c>
      <c r="C230" s="57" t="s">
        <v>196</v>
      </c>
      <c r="D230" s="58">
        <v>3750</v>
      </c>
      <c r="E230" s="58">
        <v>0</v>
      </c>
      <c r="F230" s="58">
        <f t="shared" si="3"/>
        <v>3750</v>
      </c>
      <c r="G230" s="58">
        <v>150</v>
      </c>
      <c r="H230" s="58" t="s">
        <v>24</v>
      </c>
      <c r="I230" s="57" t="str">
        <f>""</f>
        <v/>
      </c>
    </row>
    <row r="231" spans="2:9" ht="15" customHeight="1">
      <c r="B231" s="57"/>
      <c r="C231" s="57"/>
      <c r="D231" s="58"/>
      <c r="E231" s="58"/>
      <c r="F231" s="58"/>
      <c r="G231" s="58"/>
      <c r="H231" s="58"/>
      <c r="I231" s="57" t="str">
        <f>""</f>
        <v/>
      </c>
    </row>
    <row r="232" spans="2:9" ht="15" customHeight="1">
      <c r="B232" s="58" t="s">
        <v>145</v>
      </c>
      <c r="C232" s="57" t="s">
        <v>301</v>
      </c>
      <c r="D232" s="58">
        <f>3750+(71-10)*150</f>
        <v>12900</v>
      </c>
      <c r="E232" s="58">
        <v>0</v>
      </c>
      <c r="F232" s="58">
        <f t="shared" si="3"/>
        <v>12900</v>
      </c>
      <c r="G232" s="58">
        <v>150</v>
      </c>
      <c r="H232" s="58" t="s">
        <v>149</v>
      </c>
      <c r="I232" s="57"/>
    </row>
    <row r="233" spans="2:9" ht="15" customHeight="1">
      <c r="B233" s="58" t="s">
        <v>145</v>
      </c>
      <c r="C233" s="57" t="s">
        <v>197</v>
      </c>
      <c r="D233" s="58">
        <f>3750+(71-10)*150</f>
        <v>12900</v>
      </c>
      <c r="E233" s="58">
        <v>0</v>
      </c>
      <c r="F233" s="58">
        <f t="shared" si="3"/>
        <v>12900</v>
      </c>
      <c r="G233" s="58">
        <v>150</v>
      </c>
      <c r="H233" s="58" t="s">
        <v>149</v>
      </c>
      <c r="I233" s="57" t="str">
        <f>""</f>
        <v/>
      </c>
    </row>
    <row r="234" spans="2:9" ht="15" customHeight="1">
      <c r="B234" s="58" t="s">
        <v>145</v>
      </c>
      <c r="C234" s="57" t="s">
        <v>198</v>
      </c>
      <c r="D234" s="58">
        <f t="shared" ref="D234:D236" si="6">3750+(71-10)*150</f>
        <v>12900</v>
      </c>
      <c r="E234" s="58">
        <v>0</v>
      </c>
      <c r="F234" s="58">
        <f t="shared" si="3"/>
        <v>12900</v>
      </c>
      <c r="G234" s="58">
        <v>150</v>
      </c>
      <c r="H234" s="58" t="s">
        <v>149</v>
      </c>
      <c r="I234" s="57" t="str">
        <f>""</f>
        <v/>
      </c>
    </row>
    <row r="235" spans="2:9" ht="15" customHeight="1">
      <c r="B235" s="58" t="s">
        <v>145</v>
      </c>
      <c r="C235" s="57" t="s">
        <v>199</v>
      </c>
      <c r="D235" s="58">
        <f t="shared" si="6"/>
        <v>12900</v>
      </c>
      <c r="E235" s="58">
        <v>0</v>
      </c>
      <c r="F235" s="58">
        <f t="shared" si="3"/>
        <v>12900</v>
      </c>
      <c r="G235" s="58">
        <v>150</v>
      </c>
      <c r="H235" s="58" t="s">
        <v>149</v>
      </c>
      <c r="I235" s="57" t="str">
        <f>""</f>
        <v/>
      </c>
    </row>
    <row r="236" spans="2:9" ht="15" customHeight="1">
      <c r="B236" s="58" t="s">
        <v>145</v>
      </c>
      <c r="C236" s="57" t="s">
        <v>200</v>
      </c>
      <c r="D236" s="58">
        <f t="shared" si="6"/>
        <v>12900</v>
      </c>
      <c r="E236" s="58">
        <v>0</v>
      </c>
      <c r="F236" s="58">
        <f t="shared" si="3"/>
        <v>12900</v>
      </c>
      <c r="G236" s="58">
        <v>150</v>
      </c>
      <c r="H236" s="58" t="s">
        <v>149</v>
      </c>
      <c r="I236" s="57" t="str">
        <f>""</f>
        <v/>
      </c>
    </row>
    <row r="237" spans="2:9" ht="15" customHeight="1">
      <c r="B237" s="58"/>
      <c r="C237" s="58"/>
      <c r="D237" s="58"/>
      <c r="E237" s="58"/>
      <c r="F237" s="58"/>
      <c r="G237" s="58"/>
      <c r="H237" s="58"/>
      <c r="I237" s="57" t="str">
        <f>""</f>
        <v/>
      </c>
    </row>
    <row r="238" spans="2:9" ht="15" customHeight="1">
      <c r="B238" s="51" t="s">
        <v>138</v>
      </c>
      <c r="C238" s="52" t="s">
        <v>155</v>
      </c>
      <c r="D238" s="53" t="s">
        <v>139</v>
      </c>
      <c r="E238" s="54" t="s">
        <v>140</v>
      </c>
      <c r="F238" s="54" t="s">
        <v>141</v>
      </c>
      <c r="G238" s="54" t="s">
        <v>142</v>
      </c>
      <c r="H238" s="57"/>
      <c r="I238" s="57" t="str">
        <f>""</f>
        <v/>
      </c>
    </row>
    <row r="239" spans="2:9" ht="15" customHeight="1">
      <c r="B239" s="55" t="s">
        <v>44</v>
      </c>
      <c r="C239" s="55" t="s">
        <v>44</v>
      </c>
      <c r="D239" s="56">
        <v>0</v>
      </c>
      <c r="E239" s="54">
        <v>0</v>
      </c>
      <c r="F239" s="54">
        <v>0</v>
      </c>
      <c r="G239" s="54">
        <v>0</v>
      </c>
      <c r="H239" s="57"/>
      <c r="I239" s="57" t="str">
        <f>""</f>
        <v/>
      </c>
    </row>
    <row r="240" spans="2:9" ht="15" customHeight="1">
      <c r="B240" s="55"/>
      <c r="C240" s="55"/>
      <c r="D240" s="56"/>
      <c r="E240" s="54"/>
      <c r="F240" s="54"/>
      <c r="G240" s="54"/>
      <c r="H240" s="57"/>
      <c r="I240" s="57" t="str">
        <f>""</f>
        <v/>
      </c>
    </row>
    <row r="241" spans="2:9" ht="15" customHeight="1">
      <c r="B241" s="57" t="s">
        <v>12</v>
      </c>
      <c r="C241" s="57" t="s">
        <v>202</v>
      </c>
      <c r="D241" s="56">
        <v>500</v>
      </c>
      <c r="E241" s="56">
        <v>450</v>
      </c>
      <c r="F241" s="58">
        <f>D241+E241</f>
        <v>950</v>
      </c>
      <c r="G241" s="56">
        <v>0</v>
      </c>
      <c r="H241" s="57"/>
      <c r="I241" s="57" t="str">
        <f>""</f>
        <v/>
      </c>
    </row>
    <row r="242" spans="2:9" ht="15" customHeight="1">
      <c r="B242" s="57" t="s">
        <v>12</v>
      </c>
      <c r="C242" s="57" t="s">
        <v>203</v>
      </c>
      <c r="D242" s="58">
        <v>500</v>
      </c>
      <c r="E242" s="58">
        <v>450</v>
      </c>
      <c r="F242" s="58">
        <f>D242+E242</f>
        <v>950</v>
      </c>
      <c r="G242" s="58">
        <v>0</v>
      </c>
      <c r="H242" s="57"/>
      <c r="I242" s="57" t="str">
        <f>""</f>
        <v/>
      </c>
    </row>
    <row r="243" spans="2:9" ht="15" customHeight="1">
      <c r="B243" s="57" t="s">
        <v>12</v>
      </c>
      <c r="C243" s="57" t="s">
        <v>204</v>
      </c>
      <c r="D243" s="58">
        <v>500</v>
      </c>
      <c r="E243" s="58">
        <v>225</v>
      </c>
      <c r="F243" s="58">
        <f t="shared" ref="F243:F297" si="7">D243+E243</f>
        <v>725</v>
      </c>
      <c r="G243" s="58">
        <v>0</v>
      </c>
      <c r="H243" s="57"/>
      <c r="I243" s="57" t="str">
        <f>""</f>
        <v/>
      </c>
    </row>
    <row r="244" spans="2:9" ht="15" customHeight="1">
      <c r="B244" s="57" t="s">
        <v>12</v>
      </c>
      <c r="C244" s="57" t="s">
        <v>245</v>
      </c>
      <c r="D244" s="58">
        <v>500</v>
      </c>
      <c r="E244" s="58">
        <v>0</v>
      </c>
      <c r="F244" s="58">
        <f t="shared" si="7"/>
        <v>500</v>
      </c>
      <c r="G244" s="58">
        <v>0</v>
      </c>
      <c r="H244" s="57"/>
      <c r="I244" s="57" t="str">
        <f>""</f>
        <v/>
      </c>
    </row>
    <row r="245" spans="2:9" ht="15" customHeight="1">
      <c r="B245" s="57"/>
      <c r="C245" s="57"/>
      <c r="D245" s="58"/>
      <c r="E245" s="58"/>
      <c r="F245" s="58"/>
      <c r="G245" s="58"/>
      <c r="H245" s="57"/>
      <c r="I245" s="57" t="str">
        <f>""</f>
        <v/>
      </c>
    </row>
    <row r="246" spans="2:9" ht="15" customHeight="1">
      <c r="B246" s="57" t="s">
        <v>143</v>
      </c>
      <c r="C246" s="57" t="s">
        <v>205</v>
      </c>
      <c r="D246" s="58">
        <v>2100</v>
      </c>
      <c r="E246" s="58">
        <v>225</v>
      </c>
      <c r="F246" s="58">
        <f t="shared" si="7"/>
        <v>2325</v>
      </c>
      <c r="G246" s="58">
        <v>150</v>
      </c>
      <c r="H246" s="57" t="s">
        <v>25</v>
      </c>
      <c r="I246" s="57" t="str">
        <f>""</f>
        <v/>
      </c>
    </row>
    <row r="247" spans="2:9" ht="15" customHeight="1">
      <c r="B247" s="57" t="s">
        <v>143</v>
      </c>
      <c r="C247" s="57" t="s">
        <v>206</v>
      </c>
      <c r="D247" s="58">
        <v>2100</v>
      </c>
      <c r="E247" s="58">
        <v>0</v>
      </c>
      <c r="F247" s="58">
        <f t="shared" si="7"/>
        <v>2100</v>
      </c>
      <c r="G247" s="58">
        <v>150</v>
      </c>
      <c r="H247" s="57" t="s">
        <v>25</v>
      </c>
      <c r="I247" s="57" t="str">
        <f>""</f>
        <v/>
      </c>
    </row>
    <row r="248" spans="2:9" ht="15" customHeight="1">
      <c r="B248" s="57" t="s">
        <v>143</v>
      </c>
      <c r="C248" s="57" t="s">
        <v>207</v>
      </c>
      <c r="D248" s="58">
        <v>0</v>
      </c>
      <c r="E248" s="58">
        <v>0</v>
      </c>
      <c r="F248" s="58">
        <f t="shared" si="7"/>
        <v>0</v>
      </c>
      <c r="G248" s="58">
        <v>0</v>
      </c>
      <c r="H248" s="57"/>
      <c r="I248" s="57" t="s">
        <v>264</v>
      </c>
    </row>
    <row r="249" spans="2:9" ht="15" customHeight="1">
      <c r="B249" s="57" t="s">
        <v>143</v>
      </c>
      <c r="C249" s="57" t="s">
        <v>208</v>
      </c>
      <c r="D249" s="58">
        <v>0</v>
      </c>
      <c r="E249" s="58">
        <v>0</v>
      </c>
      <c r="F249" s="58">
        <f t="shared" si="7"/>
        <v>0</v>
      </c>
      <c r="G249" s="58">
        <v>0</v>
      </c>
      <c r="H249" s="57"/>
      <c r="I249" s="57" t="s">
        <v>264</v>
      </c>
    </row>
    <row r="250" spans="2:9" ht="15" customHeight="1">
      <c r="B250" s="57"/>
      <c r="C250" s="57"/>
      <c r="D250" s="58"/>
      <c r="E250" s="58"/>
      <c r="F250" s="58"/>
      <c r="G250" s="58"/>
      <c r="H250" s="57"/>
      <c r="I250" s="57" t="str">
        <f>""</f>
        <v/>
      </c>
    </row>
    <row r="251" spans="2:9" ht="15" customHeight="1">
      <c r="B251" s="58" t="s">
        <v>144</v>
      </c>
      <c r="C251" s="57" t="s">
        <v>302</v>
      </c>
      <c r="D251" s="58">
        <f>1650+(71-1)*150</f>
        <v>12150</v>
      </c>
      <c r="E251" s="58">
        <v>0</v>
      </c>
      <c r="F251" s="58">
        <f t="shared" si="7"/>
        <v>12150</v>
      </c>
      <c r="G251" s="58">
        <v>150</v>
      </c>
      <c r="H251" s="58" t="s">
        <v>149</v>
      </c>
      <c r="I251" s="57"/>
    </row>
    <row r="252" spans="2:9" ht="15" customHeight="1">
      <c r="B252" s="58" t="s">
        <v>144</v>
      </c>
      <c r="C252" s="57" t="s">
        <v>209</v>
      </c>
      <c r="D252" s="58">
        <f>1650+(71-1)*150</f>
        <v>12150</v>
      </c>
      <c r="E252" s="58">
        <v>0</v>
      </c>
      <c r="F252" s="58">
        <f t="shared" si="7"/>
        <v>12150</v>
      </c>
      <c r="G252" s="58">
        <v>150</v>
      </c>
      <c r="H252" s="58" t="s">
        <v>149</v>
      </c>
      <c r="I252" s="57" t="str">
        <f>""</f>
        <v/>
      </c>
    </row>
    <row r="253" spans="2:9" ht="15" customHeight="1">
      <c r="B253" s="58" t="s">
        <v>144</v>
      </c>
      <c r="C253" s="57" t="s">
        <v>210</v>
      </c>
      <c r="D253" s="58">
        <f t="shared" ref="D253:D255" si="8">1650+(71-1)*150</f>
        <v>12150</v>
      </c>
      <c r="E253" s="58">
        <v>0</v>
      </c>
      <c r="F253" s="58">
        <f t="shared" si="7"/>
        <v>12150</v>
      </c>
      <c r="G253" s="58">
        <v>150</v>
      </c>
      <c r="H253" s="58" t="s">
        <v>149</v>
      </c>
      <c r="I253" s="57" t="str">
        <f>""</f>
        <v/>
      </c>
    </row>
    <row r="254" spans="2:9" ht="15" customHeight="1">
      <c r="B254" s="58" t="s">
        <v>144</v>
      </c>
      <c r="C254" s="57" t="s">
        <v>211</v>
      </c>
      <c r="D254" s="58">
        <f t="shared" si="8"/>
        <v>12150</v>
      </c>
      <c r="E254" s="58">
        <v>0</v>
      </c>
      <c r="F254" s="58">
        <f t="shared" si="7"/>
        <v>12150</v>
      </c>
      <c r="G254" s="58">
        <v>150</v>
      </c>
      <c r="H254" s="58" t="s">
        <v>149</v>
      </c>
      <c r="I254" s="57" t="str">
        <f>""</f>
        <v/>
      </c>
    </row>
    <row r="255" spans="2:9" ht="15" customHeight="1">
      <c r="B255" s="58" t="s">
        <v>144</v>
      </c>
      <c r="C255" s="57" t="s">
        <v>212</v>
      </c>
      <c r="D255" s="58">
        <f t="shared" si="8"/>
        <v>12150</v>
      </c>
      <c r="E255" s="58">
        <v>0</v>
      </c>
      <c r="F255" s="58">
        <f t="shared" si="7"/>
        <v>12150</v>
      </c>
      <c r="G255" s="58">
        <v>150</v>
      </c>
      <c r="H255" s="58" t="s">
        <v>149</v>
      </c>
      <c r="I255" s="57" t="str">
        <f>""</f>
        <v/>
      </c>
    </row>
    <row r="256" spans="2:9" ht="15" customHeight="1">
      <c r="B256" s="58"/>
      <c r="C256" s="57"/>
      <c r="D256" s="58"/>
      <c r="E256" s="58"/>
      <c r="F256" s="58"/>
      <c r="G256" s="58"/>
      <c r="H256" s="58"/>
      <c r="I256" s="57" t="str">
        <f>""</f>
        <v/>
      </c>
    </row>
    <row r="257" spans="2:9" ht="15" customHeight="1">
      <c r="B257" s="57" t="s">
        <v>13</v>
      </c>
      <c r="C257" s="57" t="s">
        <v>213</v>
      </c>
      <c r="D257" s="58">
        <v>500</v>
      </c>
      <c r="E257" s="58">
        <v>450</v>
      </c>
      <c r="F257" s="58">
        <f t="shared" si="7"/>
        <v>950</v>
      </c>
      <c r="G257" s="58">
        <v>0</v>
      </c>
      <c r="H257" s="58"/>
      <c r="I257" s="57" t="str">
        <f>""</f>
        <v/>
      </c>
    </row>
    <row r="258" spans="2:9" ht="15" customHeight="1">
      <c r="B258" s="57" t="s">
        <v>13</v>
      </c>
      <c r="C258" s="57" t="s">
        <v>214</v>
      </c>
      <c r="D258" s="58">
        <v>500</v>
      </c>
      <c r="E258" s="58">
        <v>450</v>
      </c>
      <c r="F258" s="58">
        <f t="shared" si="7"/>
        <v>950</v>
      </c>
      <c r="G258" s="58">
        <v>0</v>
      </c>
      <c r="H258" s="57"/>
      <c r="I258" s="57" t="str">
        <f>""</f>
        <v/>
      </c>
    </row>
    <row r="259" spans="2:9" ht="15" customHeight="1">
      <c r="B259" s="57" t="s">
        <v>13</v>
      </c>
      <c r="C259" s="57" t="s">
        <v>215</v>
      </c>
      <c r="D259" s="58">
        <v>500</v>
      </c>
      <c r="E259" s="58">
        <v>225</v>
      </c>
      <c r="F259" s="58">
        <f t="shared" si="7"/>
        <v>725</v>
      </c>
      <c r="G259" s="58">
        <v>0</v>
      </c>
      <c r="H259" s="57"/>
      <c r="I259" s="57" t="str">
        <f>""</f>
        <v/>
      </c>
    </row>
    <row r="260" spans="2:9" ht="15" customHeight="1">
      <c r="B260" s="57" t="s">
        <v>13</v>
      </c>
      <c r="C260" s="57" t="s">
        <v>216</v>
      </c>
      <c r="D260" s="58">
        <v>500</v>
      </c>
      <c r="E260" s="58">
        <v>0</v>
      </c>
      <c r="F260" s="58">
        <f t="shared" si="7"/>
        <v>500</v>
      </c>
      <c r="G260" s="58">
        <v>0</v>
      </c>
      <c r="H260" s="57"/>
      <c r="I260" s="57" t="str">
        <f>""</f>
        <v/>
      </c>
    </row>
    <row r="261" spans="2:9" ht="15" customHeight="1">
      <c r="B261" s="57"/>
      <c r="C261" s="57"/>
      <c r="D261" s="58"/>
      <c r="E261" s="58"/>
      <c r="F261" s="58"/>
      <c r="G261" s="58"/>
      <c r="H261" s="57"/>
      <c r="I261" s="57" t="str">
        <f>""</f>
        <v/>
      </c>
    </row>
    <row r="262" spans="2:9" ht="15" customHeight="1">
      <c r="B262" s="57" t="s">
        <v>14</v>
      </c>
      <c r="C262" s="57" t="s">
        <v>217</v>
      </c>
      <c r="D262" s="58">
        <v>4200</v>
      </c>
      <c r="E262" s="58">
        <v>225</v>
      </c>
      <c r="F262" s="58">
        <f t="shared" si="7"/>
        <v>4425</v>
      </c>
      <c r="G262" s="58">
        <v>0</v>
      </c>
      <c r="H262" s="57"/>
      <c r="I262" s="57" t="str">
        <f>""</f>
        <v/>
      </c>
    </row>
    <row r="263" spans="2:9" ht="15" customHeight="1">
      <c r="B263" s="57" t="s">
        <v>14</v>
      </c>
      <c r="C263" s="57" t="s">
        <v>218</v>
      </c>
      <c r="D263" s="58">
        <v>4200</v>
      </c>
      <c r="E263" s="58">
        <v>0</v>
      </c>
      <c r="F263" s="58">
        <f t="shared" si="7"/>
        <v>4200</v>
      </c>
      <c r="G263" s="58">
        <v>0</v>
      </c>
      <c r="H263" s="57"/>
      <c r="I263" s="57" t="str">
        <f>""</f>
        <v/>
      </c>
    </row>
    <row r="264" spans="2:9" ht="15" customHeight="1">
      <c r="B264" s="57" t="s">
        <v>14</v>
      </c>
      <c r="C264" s="57" t="s">
        <v>219</v>
      </c>
      <c r="D264" s="58">
        <v>0</v>
      </c>
      <c r="E264" s="58">
        <v>0</v>
      </c>
      <c r="F264" s="58">
        <f t="shared" si="7"/>
        <v>0</v>
      </c>
      <c r="G264" s="58">
        <v>0</v>
      </c>
      <c r="H264" s="57"/>
      <c r="I264" s="57" t="s">
        <v>264</v>
      </c>
    </row>
    <row r="265" spans="2:9" ht="15" customHeight="1">
      <c r="B265" s="57" t="s">
        <v>14</v>
      </c>
      <c r="C265" s="57" t="s">
        <v>220</v>
      </c>
      <c r="D265" s="58">
        <v>0</v>
      </c>
      <c r="E265" s="58">
        <v>0</v>
      </c>
      <c r="F265" s="58">
        <f t="shared" si="7"/>
        <v>0</v>
      </c>
      <c r="G265" s="58">
        <v>0</v>
      </c>
      <c r="H265" s="57"/>
      <c r="I265" s="57" t="s">
        <v>264</v>
      </c>
    </row>
    <row r="266" spans="2:9" ht="15" customHeight="1">
      <c r="B266" s="57"/>
      <c r="C266" s="57"/>
      <c r="D266" s="58"/>
      <c r="E266" s="58"/>
      <c r="F266" s="58"/>
      <c r="G266" s="58"/>
      <c r="H266" s="57"/>
      <c r="I266" s="57" t="str">
        <f>""</f>
        <v/>
      </c>
    </row>
    <row r="267" spans="2:9" ht="15" customHeight="1">
      <c r="B267" s="57" t="s">
        <v>147</v>
      </c>
      <c r="C267" s="57" t="s">
        <v>221</v>
      </c>
      <c r="D267" s="58">
        <v>4200</v>
      </c>
      <c r="E267" s="58">
        <v>225</v>
      </c>
      <c r="F267" s="58">
        <f t="shared" si="7"/>
        <v>4425</v>
      </c>
      <c r="G267" s="58">
        <v>150</v>
      </c>
      <c r="H267" s="58" t="s">
        <v>24</v>
      </c>
      <c r="I267" s="57" t="str">
        <f>""</f>
        <v/>
      </c>
    </row>
    <row r="268" spans="2:9" ht="15" customHeight="1">
      <c r="B268" s="57" t="s">
        <v>147</v>
      </c>
      <c r="C268" s="57" t="s">
        <v>222</v>
      </c>
      <c r="D268" s="58">
        <v>4200</v>
      </c>
      <c r="E268" s="58">
        <v>0</v>
      </c>
      <c r="F268" s="58">
        <f t="shared" si="7"/>
        <v>4200</v>
      </c>
      <c r="G268" s="58">
        <v>150</v>
      </c>
      <c r="H268" s="58" t="s">
        <v>24</v>
      </c>
      <c r="I268" s="57" t="str">
        <f>""</f>
        <v/>
      </c>
    </row>
    <row r="269" spans="2:9" ht="15" customHeight="1">
      <c r="B269" s="57" t="s">
        <v>147</v>
      </c>
      <c r="C269" s="57" t="s">
        <v>223</v>
      </c>
      <c r="D269" s="58">
        <v>0</v>
      </c>
      <c r="E269" s="58">
        <v>0</v>
      </c>
      <c r="F269" s="58">
        <f t="shared" si="7"/>
        <v>0</v>
      </c>
      <c r="G269" s="58">
        <v>0</v>
      </c>
      <c r="H269" s="58"/>
      <c r="I269" s="57" t="s">
        <v>264</v>
      </c>
    </row>
    <row r="270" spans="2:9" ht="15" customHeight="1">
      <c r="B270" s="57" t="s">
        <v>147</v>
      </c>
      <c r="C270" s="57" t="s">
        <v>224</v>
      </c>
      <c r="D270" s="58">
        <v>0</v>
      </c>
      <c r="E270" s="58">
        <v>0</v>
      </c>
      <c r="F270" s="58">
        <f t="shared" si="7"/>
        <v>0</v>
      </c>
      <c r="G270" s="58">
        <v>0</v>
      </c>
      <c r="H270" s="58"/>
      <c r="I270" s="57" t="s">
        <v>264</v>
      </c>
    </row>
    <row r="271" spans="2:9" ht="15" customHeight="1">
      <c r="B271" s="57"/>
      <c r="C271" s="57"/>
      <c r="D271" s="58"/>
      <c r="E271" s="58"/>
      <c r="F271" s="58"/>
      <c r="G271" s="58"/>
      <c r="H271" s="58"/>
      <c r="I271" s="57" t="str">
        <f>""</f>
        <v/>
      </c>
    </row>
    <row r="272" spans="2:9" ht="15" customHeight="1">
      <c r="B272" s="58" t="s">
        <v>148</v>
      </c>
      <c r="C272" s="57" t="s">
        <v>303</v>
      </c>
      <c r="D272" s="58">
        <f>3750+(71-10)*150</f>
        <v>12900</v>
      </c>
      <c r="E272" s="58">
        <v>0</v>
      </c>
      <c r="F272" s="58">
        <f t="shared" si="7"/>
        <v>12900</v>
      </c>
      <c r="G272" s="58">
        <v>150</v>
      </c>
      <c r="H272" s="58" t="s">
        <v>149</v>
      </c>
      <c r="I272" s="57"/>
    </row>
    <row r="273" spans="2:9" ht="15" customHeight="1">
      <c r="B273" s="58" t="s">
        <v>148</v>
      </c>
      <c r="C273" s="57" t="s">
        <v>225</v>
      </c>
      <c r="D273" s="58">
        <f>3750+(71-10)*150</f>
        <v>12900</v>
      </c>
      <c r="E273" s="58">
        <v>0</v>
      </c>
      <c r="F273" s="58">
        <f t="shared" si="7"/>
        <v>12900</v>
      </c>
      <c r="G273" s="58">
        <v>150</v>
      </c>
      <c r="H273" s="58" t="s">
        <v>149</v>
      </c>
      <c r="I273" s="57" t="str">
        <f>""</f>
        <v/>
      </c>
    </row>
    <row r="274" spans="2:9" ht="15" customHeight="1">
      <c r="B274" s="58" t="s">
        <v>148</v>
      </c>
      <c r="C274" s="57" t="s">
        <v>226</v>
      </c>
      <c r="D274" s="58">
        <f t="shared" ref="D274:D276" si="9">3750+(71-10)*150</f>
        <v>12900</v>
      </c>
      <c r="E274" s="58">
        <v>0</v>
      </c>
      <c r="F274" s="58">
        <f t="shared" si="7"/>
        <v>12900</v>
      </c>
      <c r="G274" s="58">
        <v>150</v>
      </c>
      <c r="H274" s="58" t="s">
        <v>149</v>
      </c>
      <c r="I274" s="57" t="str">
        <f>""</f>
        <v/>
      </c>
    </row>
    <row r="275" spans="2:9" ht="15.75" customHeight="1">
      <c r="B275" s="58" t="s">
        <v>148</v>
      </c>
      <c r="C275" s="57" t="s">
        <v>227</v>
      </c>
      <c r="D275" s="58">
        <f t="shared" si="9"/>
        <v>12900</v>
      </c>
      <c r="E275" s="58">
        <v>0</v>
      </c>
      <c r="F275" s="58">
        <f t="shared" si="7"/>
        <v>12900</v>
      </c>
      <c r="G275" s="58">
        <v>150</v>
      </c>
      <c r="H275" s="58" t="s">
        <v>149</v>
      </c>
      <c r="I275" s="57" t="str">
        <f>""</f>
        <v/>
      </c>
    </row>
    <row r="276" spans="2:9" ht="15" customHeight="1">
      <c r="B276" s="58" t="s">
        <v>148</v>
      </c>
      <c r="C276" s="57" t="s">
        <v>228</v>
      </c>
      <c r="D276" s="58">
        <f t="shared" si="9"/>
        <v>12900</v>
      </c>
      <c r="E276" s="58">
        <v>0</v>
      </c>
      <c r="F276" s="58">
        <f t="shared" si="7"/>
        <v>12900</v>
      </c>
      <c r="G276" s="58">
        <v>150</v>
      </c>
      <c r="H276" s="58" t="s">
        <v>149</v>
      </c>
      <c r="I276" s="57" t="str">
        <f>""</f>
        <v/>
      </c>
    </row>
    <row r="277" spans="2:9" ht="15" customHeight="1">
      <c r="B277" s="58"/>
      <c r="C277" s="58"/>
      <c r="D277" s="58"/>
      <c r="E277" s="58"/>
      <c r="F277" s="58"/>
      <c r="G277" s="58"/>
      <c r="H277" s="58"/>
      <c r="I277" s="57" t="str">
        <f>""</f>
        <v/>
      </c>
    </row>
    <row r="278" spans="2:9" ht="15" customHeight="1">
      <c r="B278" s="57" t="s">
        <v>15</v>
      </c>
      <c r="C278" s="57" t="s">
        <v>229</v>
      </c>
      <c r="D278" s="58">
        <v>500</v>
      </c>
      <c r="E278" s="58">
        <v>450</v>
      </c>
      <c r="F278" s="58">
        <f t="shared" si="7"/>
        <v>950</v>
      </c>
      <c r="G278" s="58">
        <v>0</v>
      </c>
      <c r="H278" s="58"/>
      <c r="I278" s="57" t="str">
        <f>""</f>
        <v/>
      </c>
    </row>
    <row r="279" spans="2:9" ht="15" customHeight="1">
      <c r="B279" s="57" t="s">
        <v>15</v>
      </c>
      <c r="C279" s="57" t="s">
        <v>230</v>
      </c>
      <c r="D279" s="58">
        <v>500</v>
      </c>
      <c r="E279" s="58">
        <v>450</v>
      </c>
      <c r="F279" s="58">
        <f t="shared" si="7"/>
        <v>950</v>
      </c>
      <c r="G279" s="58">
        <v>0</v>
      </c>
      <c r="H279" s="57"/>
      <c r="I279" s="57" t="str">
        <f>""</f>
        <v/>
      </c>
    </row>
    <row r="280" spans="2:9" ht="15" customHeight="1">
      <c r="B280" s="57" t="s">
        <v>15</v>
      </c>
      <c r="C280" s="57" t="s">
        <v>231</v>
      </c>
      <c r="D280" s="58">
        <v>500</v>
      </c>
      <c r="E280" s="58">
        <v>225</v>
      </c>
      <c r="F280" s="58">
        <f t="shared" si="7"/>
        <v>725</v>
      </c>
      <c r="G280" s="58">
        <v>0</v>
      </c>
      <c r="H280" s="57"/>
      <c r="I280" s="57" t="str">
        <f>""</f>
        <v/>
      </c>
    </row>
    <row r="281" spans="2:9" ht="15" customHeight="1">
      <c r="B281" s="57" t="s">
        <v>15</v>
      </c>
      <c r="C281" s="57" t="s">
        <v>232</v>
      </c>
      <c r="D281" s="58">
        <v>500</v>
      </c>
      <c r="E281" s="58"/>
      <c r="F281" s="58">
        <f t="shared" si="7"/>
        <v>500</v>
      </c>
      <c r="G281" s="58">
        <v>0</v>
      </c>
      <c r="H281" s="57"/>
      <c r="I281" s="57" t="str">
        <f>""</f>
        <v/>
      </c>
    </row>
    <row r="282" spans="2:9" ht="15" customHeight="1">
      <c r="B282" s="57"/>
      <c r="C282" s="57"/>
      <c r="D282" s="58"/>
      <c r="E282" s="58"/>
      <c r="F282" s="58"/>
      <c r="G282" s="58"/>
      <c r="H282" s="57"/>
      <c r="I282" s="57" t="str">
        <f>""</f>
        <v/>
      </c>
    </row>
    <row r="283" spans="2:9" ht="15" customHeight="1">
      <c r="B283" s="57" t="s">
        <v>16</v>
      </c>
      <c r="C283" s="57" t="s">
        <v>233</v>
      </c>
      <c r="D283" s="58">
        <v>4200</v>
      </c>
      <c r="E283" s="58">
        <v>225</v>
      </c>
      <c r="F283" s="58">
        <f t="shared" si="7"/>
        <v>4425</v>
      </c>
      <c r="G283" s="58">
        <v>0</v>
      </c>
      <c r="H283" s="57"/>
      <c r="I283" s="57" t="str">
        <f>""</f>
        <v/>
      </c>
    </row>
    <row r="284" spans="2:9" ht="15" customHeight="1">
      <c r="B284" s="57" t="s">
        <v>16</v>
      </c>
      <c r="C284" s="57" t="s">
        <v>234</v>
      </c>
      <c r="D284" s="58">
        <v>4200</v>
      </c>
      <c r="E284" s="58">
        <v>0</v>
      </c>
      <c r="F284" s="58">
        <f t="shared" si="7"/>
        <v>4200</v>
      </c>
      <c r="G284" s="58">
        <v>0</v>
      </c>
      <c r="H284" s="57"/>
      <c r="I284" s="57" t="str">
        <f>""</f>
        <v/>
      </c>
    </row>
    <row r="285" spans="2:9" ht="15" customHeight="1">
      <c r="B285" s="57" t="s">
        <v>16</v>
      </c>
      <c r="C285" s="57" t="s">
        <v>235</v>
      </c>
      <c r="D285" s="58">
        <v>0</v>
      </c>
      <c r="E285" s="58">
        <v>0</v>
      </c>
      <c r="F285" s="58">
        <f t="shared" si="7"/>
        <v>0</v>
      </c>
      <c r="G285" s="58">
        <v>0</v>
      </c>
      <c r="H285" s="57"/>
      <c r="I285" s="57" t="s">
        <v>264</v>
      </c>
    </row>
    <row r="286" spans="2:9" ht="15" customHeight="1">
      <c r="B286" s="57" t="s">
        <v>16</v>
      </c>
      <c r="C286" s="57" t="s">
        <v>236</v>
      </c>
      <c r="D286" s="58">
        <v>0</v>
      </c>
      <c r="E286" s="58">
        <v>0</v>
      </c>
      <c r="F286" s="58">
        <f t="shared" si="7"/>
        <v>0</v>
      </c>
      <c r="G286" s="58">
        <v>0</v>
      </c>
      <c r="H286" s="57"/>
      <c r="I286" s="57" t="s">
        <v>264</v>
      </c>
    </row>
    <row r="287" spans="2:9" ht="15" customHeight="1">
      <c r="B287" s="57"/>
      <c r="C287" s="57"/>
      <c r="D287" s="58"/>
      <c r="E287" s="58"/>
      <c r="F287" s="58"/>
      <c r="G287" s="58"/>
      <c r="H287" s="57"/>
      <c r="I287" s="57" t="str">
        <f>""</f>
        <v/>
      </c>
    </row>
    <row r="288" spans="2:9" ht="15" customHeight="1">
      <c r="B288" s="57" t="s">
        <v>146</v>
      </c>
      <c r="C288" s="57" t="s">
        <v>237</v>
      </c>
      <c r="D288" s="58">
        <v>4200</v>
      </c>
      <c r="E288" s="58">
        <v>225</v>
      </c>
      <c r="F288" s="58">
        <f t="shared" si="7"/>
        <v>4425</v>
      </c>
      <c r="G288" s="58">
        <v>150</v>
      </c>
      <c r="H288" s="58" t="s">
        <v>24</v>
      </c>
      <c r="I288" s="57" t="str">
        <f>""</f>
        <v/>
      </c>
    </row>
    <row r="289" spans="2:9" ht="15" customHeight="1">
      <c r="B289" s="57" t="s">
        <v>146</v>
      </c>
      <c r="C289" s="57" t="s">
        <v>238</v>
      </c>
      <c r="D289" s="58">
        <v>4200</v>
      </c>
      <c r="E289" s="58">
        <v>0</v>
      </c>
      <c r="F289" s="58">
        <f t="shared" si="7"/>
        <v>4200</v>
      </c>
      <c r="G289" s="58">
        <v>150</v>
      </c>
      <c r="H289" s="58" t="s">
        <v>24</v>
      </c>
      <c r="I289" s="57" t="str">
        <f>""</f>
        <v/>
      </c>
    </row>
    <row r="290" spans="2:9" ht="15" customHeight="1">
      <c r="B290" s="57" t="s">
        <v>146</v>
      </c>
      <c r="C290" s="57" t="s">
        <v>239</v>
      </c>
      <c r="D290" s="58">
        <v>0</v>
      </c>
      <c r="E290" s="58">
        <v>0</v>
      </c>
      <c r="F290" s="58">
        <f t="shared" si="7"/>
        <v>0</v>
      </c>
      <c r="G290" s="58">
        <v>0</v>
      </c>
      <c r="H290" s="58" t="s">
        <v>24</v>
      </c>
      <c r="I290" s="57" t="s">
        <v>264</v>
      </c>
    </row>
    <row r="291" spans="2:9" ht="15" customHeight="1">
      <c r="B291" s="57" t="s">
        <v>146</v>
      </c>
      <c r="C291" s="57" t="s">
        <v>240</v>
      </c>
      <c r="D291" s="58">
        <v>0</v>
      </c>
      <c r="E291" s="58">
        <v>0</v>
      </c>
      <c r="F291" s="58">
        <f t="shared" si="7"/>
        <v>0</v>
      </c>
      <c r="G291" s="58">
        <v>0</v>
      </c>
      <c r="H291" s="58" t="s">
        <v>24</v>
      </c>
      <c r="I291" s="57" t="s">
        <v>264</v>
      </c>
    </row>
    <row r="292" spans="2:9" ht="15" customHeight="1">
      <c r="B292" s="57"/>
      <c r="C292" s="57"/>
      <c r="D292" s="58"/>
      <c r="E292" s="58"/>
      <c r="F292" s="58"/>
      <c r="G292" s="58"/>
      <c r="H292" s="58"/>
      <c r="I292" s="57" t="str">
        <f>""</f>
        <v/>
      </c>
    </row>
    <row r="293" spans="2:9" ht="15" customHeight="1">
      <c r="B293" s="58" t="s">
        <v>145</v>
      </c>
      <c r="C293" s="57" t="s">
        <v>304</v>
      </c>
      <c r="D293" s="58">
        <f>3750+(71-10)*150</f>
        <v>12900</v>
      </c>
      <c r="E293" s="58">
        <v>0</v>
      </c>
      <c r="F293" s="58">
        <f t="shared" si="7"/>
        <v>12900</v>
      </c>
      <c r="G293" s="58">
        <v>150</v>
      </c>
      <c r="H293" s="58" t="s">
        <v>149</v>
      </c>
      <c r="I293" s="57"/>
    </row>
    <row r="294" spans="2:9" ht="15" customHeight="1">
      <c r="B294" s="58" t="s">
        <v>145</v>
      </c>
      <c r="C294" s="57" t="s">
        <v>241</v>
      </c>
      <c r="D294" s="58">
        <f>3750+(71-10)*150</f>
        <v>12900</v>
      </c>
      <c r="E294" s="58">
        <v>0</v>
      </c>
      <c r="F294" s="58">
        <f t="shared" si="7"/>
        <v>12900</v>
      </c>
      <c r="G294" s="58">
        <v>150</v>
      </c>
      <c r="H294" s="58" t="s">
        <v>149</v>
      </c>
      <c r="I294" s="57" t="str">
        <f>""</f>
        <v/>
      </c>
    </row>
    <row r="295" spans="2:9" ht="15" customHeight="1">
      <c r="B295" s="58" t="s">
        <v>145</v>
      </c>
      <c r="C295" s="57" t="s">
        <v>242</v>
      </c>
      <c r="D295" s="58">
        <f t="shared" ref="D295:D297" si="10">3750+(71-10)*150</f>
        <v>12900</v>
      </c>
      <c r="E295" s="58">
        <v>0</v>
      </c>
      <c r="F295" s="58">
        <f t="shared" si="7"/>
        <v>12900</v>
      </c>
      <c r="G295" s="58">
        <v>150</v>
      </c>
      <c r="H295" s="58" t="s">
        <v>149</v>
      </c>
      <c r="I295" s="57" t="str">
        <f>""</f>
        <v/>
      </c>
    </row>
    <row r="296" spans="2:9" ht="15" customHeight="1">
      <c r="B296" s="58" t="s">
        <v>145</v>
      </c>
      <c r="C296" s="57" t="s">
        <v>243</v>
      </c>
      <c r="D296" s="58">
        <f t="shared" si="10"/>
        <v>12900</v>
      </c>
      <c r="E296" s="58">
        <v>0</v>
      </c>
      <c r="F296" s="58">
        <f t="shared" si="7"/>
        <v>12900</v>
      </c>
      <c r="G296" s="58">
        <v>150</v>
      </c>
      <c r="H296" s="58" t="s">
        <v>149</v>
      </c>
      <c r="I296" s="57" t="str">
        <f>""</f>
        <v/>
      </c>
    </row>
    <row r="297" spans="2:9" ht="15" customHeight="1">
      <c r="B297" s="58" t="s">
        <v>145</v>
      </c>
      <c r="C297" s="57" t="s">
        <v>244</v>
      </c>
      <c r="D297" s="58">
        <f t="shared" si="10"/>
        <v>12900</v>
      </c>
      <c r="E297" s="58">
        <v>0</v>
      </c>
      <c r="F297" s="58">
        <f t="shared" si="7"/>
        <v>12900</v>
      </c>
      <c r="G297" s="58">
        <v>150</v>
      </c>
      <c r="H297" s="58" t="s">
        <v>149</v>
      </c>
      <c r="I297" s="57" t="str">
        <f>""</f>
        <v/>
      </c>
    </row>
    <row r="298" spans="2:9" ht="15" customHeight="1">
      <c r="B298" s="10"/>
      <c r="C298" s="1"/>
      <c r="D298" s="3"/>
      <c r="E298" s="3"/>
      <c r="F298" s="3"/>
      <c r="G298" s="3"/>
      <c r="H298" s="3"/>
    </row>
    <row r="299" spans="2:9" ht="15" customHeight="1">
      <c r="B299" s="52" t="s">
        <v>9</v>
      </c>
      <c r="C299" s="52" t="s">
        <v>10</v>
      </c>
      <c r="D299" s="53" t="s">
        <v>11</v>
      </c>
      <c r="E299" s="3"/>
      <c r="F299" s="3"/>
      <c r="G299" s="3"/>
    </row>
    <row r="300" spans="2:9" ht="15" customHeight="1">
      <c r="B300" s="55" t="s">
        <v>48</v>
      </c>
      <c r="C300" s="55" t="s">
        <v>48</v>
      </c>
      <c r="D300" s="61">
        <v>0</v>
      </c>
      <c r="E300" s="3"/>
      <c r="F300" s="3"/>
      <c r="G300" s="3"/>
    </row>
    <row r="301" spans="2:9" ht="15" customHeight="1">
      <c r="B301" s="57" t="s">
        <v>9</v>
      </c>
      <c r="C301" s="57" t="s">
        <v>256</v>
      </c>
      <c r="D301" s="58">
        <v>1000</v>
      </c>
      <c r="E301" s="3"/>
      <c r="F301" s="3"/>
      <c r="G301" s="3"/>
      <c r="H301" s="3" t="s">
        <v>28</v>
      </c>
    </row>
    <row r="302" spans="2:9" ht="15" customHeight="1">
      <c r="B302" s="57" t="s">
        <v>9</v>
      </c>
      <c r="C302" s="57" t="s">
        <v>257</v>
      </c>
      <c r="D302" s="58">
        <v>2000</v>
      </c>
      <c r="E302" s="3"/>
      <c r="F302" s="3"/>
      <c r="G302" s="3"/>
      <c r="H302" s="3" t="s">
        <v>28</v>
      </c>
    </row>
    <row r="303" spans="2:9" ht="15" customHeight="1">
      <c r="B303" s="57" t="s">
        <v>18</v>
      </c>
      <c r="C303" s="57" t="s">
        <v>258</v>
      </c>
      <c r="D303" s="58">
        <v>1200</v>
      </c>
      <c r="E303" s="3"/>
      <c r="F303" s="3"/>
      <c r="G303" s="3"/>
      <c r="H303" s="3" t="s">
        <v>28</v>
      </c>
    </row>
    <row r="304" spans="2:9" ht="15" customHeight="1">
      <c r="B304" s="57" t="s">
        <v>18</v>
      </c>
      <c r="C304" s="57" t="s">
        <v>259</v>
      </c>
      <c r="D304" s="58">
        <v>2100</v>
      </c>
      <c r="E304" s="3"/>
      <c r="F304" s="3"/>
      <c r="G304" s="3"/>
      <c r="H304" s="3" t="s">
        <v>28</v>
      </c>
    </row>
    <row r="305" spans="2:8" ht="15" customHeight="1">
      <c r="B305" s="57" t="s">
        <v>9</v>
      </c>
      <c r="C305" s="57" t="s">
        <v>260</v>
      </c>
      <c r="D305" s="58">
        <v>1000</v>
      </c>
      <c r="F305" s="3"/>
      <c r="G305" s="3"/>
      <c r="H305" s="3" t="s">
        <v>28</v>
      </c>
    </row>
    <row r="306" spans="2:8" ht="15" customHeight="1">
      <c r="B306" s="57" t="s">
        <v>9</v>
      </c>
      <c r="C306" s="57" t="s">
        <v>261</v>
      </c>
      <c r="D306" s="58">
        <v>1400</v>
      </c>
      <c r="E306" s="145"/>
      <c r="F306" s="3"/>
      <c r="G306" s="3"/>
      <c r="H306" s="3" t="s">
        <v>28</v>
      </c>
    </row>
    <row r="307" spans="2:8" ht="15" customHeight="1">
      <c r="B307" s="57" t="s">
        <v>18</v>
      </c>
      <c r="C307" s="57" t="s">
        <v>262</v>
      </c>
      <c r="D307" s="58">
        <v>1200</v>
      </c>
      <c r="E307" s="47"/>
      <c r="F307" s="3"/>
      <c r="G307" s="3"/>
      <c r="H307" s="3" t="s">
        <v>28</v>
      </c>
    </row>
    <row r="308" spans="2:8" ht="15" customHeight="1">
      <c r="B308" s="57" t="s">
        <v>18</v>
      </c>
      <c r="C308" s="57" t="s">
        <v>263</v>
      </c>
      <c r="D308" s="58">
        <v>1400</v>
      </c>
      <c r="E308" s="47"/>
      <c r="F308" s="3"/>
      <c r="G308" s="3"/>
      <c r="H308" s="3" t="s">
        <v>28</v>
      </c>
    </row>
    <row r="309" spans="2:8" ht="15" customHeight="1"/>
    <row r="310" spans="2:8" ht="15" customHeight="1">
      <c r="B310" s="52" t="s">
        <v>23</v>
      </c>
      <c r="C310" s="52" t="s">
        <v>10</v>
      </c>
      <c r="D310" s="54" t="s">
        <v>11</v>
      </c>
    </row>
    <row r="311" spans="2:8" ht="15" customHeight="1">
      <c r="B311" s="55" t="s">
        <v>247</v>
      </c>
      <c r="C311" s="55" t="s">
        <v>247</v>
      </c>
      <c r="D311" s="56">
        <v>0</v>
      </c>
    </row>
    <row r="312" spans="2:8" ht="15" customHeight="1">
      <c r="B312" s="55" t="s">
        <v>250</v>
      </c>
      <c r="C312" s="55" t="s">
        <v>253</v>
      </c>
      <c r="D312" s="57">
        <v>3325</v>
      </c>
    </row>
    <row r="313" spans="2:8" ht="15" customHeight="1">
      <c r="B313" s="55" t="s">
        <v>250</v>
      </c>
      <c r="C313" s="55" t="s">
        <v>251</v>
      </c>
      <c r="D313" s="57">
        <v>3775</v>
      </c>
    </row>
    <row r="314" spans="2:8" ht="15" customHeight="1"/>
    <row r="315" spans="2:8" ht="15" customHeight="1">
      <c r="B315" s="1" t="s">
        <v>61</v>
      </c>
      <c r="C315" s="1" t="s">
        <v>10</v>
      </c>
      <c r="H315" t="s">
        <v>62</v>
      </c>
    </row>
    <row r="316" spans="2:8">
      <c r="B316" t="s">
        <v>60</v>
      </c>
      <c r="C316" t="s">
        <v>60</v>
      </c>
      <c r="D316">
        <v>0</v>
      </c>
    </row>
    <row r="317" spans="2:8">
      <c r="B317" s="9" t="s">
        <v>61</v>
      </c>
      <c r="C317" s="9" t="s">
        <v>61</v>
      </c>
      <c r="D317">
        <v>400</v>
      </c>
    </row>
    <row r="319" spans="2:8">
      <c r="C319" s="43"/>
    </row>
    <row r="335" spans="2:2">
      <c r="B335" s="2"/>
    </row>
  </sheetData>
  <mergeCells count="3">
    <mergeCell ref="M2:M10"/>
    <mergeCell ref="M38:M41"/>
    <mergeCell ref="N7:N10"/>
  </mergeCells>
  <phoneticPr fontId="11" type="noConversion"/>
  <pageMargins left="0.7" right="0.7" top="0.75" bottom="0.75" header="0.3" footer="0.3"/>
  <pageSetup paperSize="9" orientation="portrait" r:id="rId1"/>
</worksheet>
</file>

<file path=docMetadata/LabelInfo.xml><?xml version="1.0" encoding="utf-8"?>
<clbl:labelList xmlns:clbl="http://schemas.microsoft.com/office/2020/mipLabelMetadata">
  <clbl:label id="{4bde8109-f994-4a60-a1d3-5c95e2ff3620}" enabled="1" method="Privileged" siteId="{1321633e-f6b9-44e2-a44f-59b9d264ecb7}"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Keuzeblad maatregelen</vt:lpstr>
      <vt:lpstr>Afdrukoverzicht subsidiebedrag</vt:lpstr>
      <vt:lpstr>Hulpblad</vt:lpstr>
      <vt:lpstr>'Afdrukoverzicht subsidiebedrag'!Afdrukbereik</vt:lpstr>
    </vt:vector>
  </TitlesOfParts>
  <Company>Ministerie van Economische Zaken en Klimaat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Rekentool ISDE voor woningeigenaren</dc:title>
  <dc:creator>RVO</dc:creator>
  <cp:lastModifiedBy>JHH</cp:lastModifiedBy>
  <cp:lastPrinted>2023-11-27T15:40:11Z</cp:lastPrinted>
  <dcterms:created xsi:type="dcterms:W3CDTF">2022-12-13T15:32:06Z</dcterms:created>
  <dcterms:modified xsi:type="dcterms:W3CDTF">2024-03-11T11:06:30Z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bde8109-f994-4a60-a1d3-5c95e2ff3620_Enabled">
    <vt:lpwstr>true</vt:lpwstr>
  </property>
  <property fmtid="{D5CDD505-2E9C-101B-9397-08002B2CF9AE}" pid="3" name="MSIP_Label_4bde8109-f994-4a60-a1d3-5c95e2ff3620_SetDate">
    <vt:lpwstr>2023-01-10T14:01:25Z</vt:lpwstr>
  </property>
  <property fmtid="{D5CDD505-2E9C-101B-9397-08002B2CF9AE}" pid="4" name="MSIP_Label_4bde8109-f994-4a60-a1d3-5c95e2ff3620_Method">
    <vt:lpwstr>Privileged</vt:lpwstr>
  </property>
  <property fmtid="{D5CDD505-2E9C-101B-9397-08002B2CF9AE}" pid="5" name="MSIP_Label_4bde8109-f994-4a60-a1d3-5c95e2ff3620_Name">
    <vt:lpwstr>FLPubliek</vt:lpwstr>
  </property>
  <property fmtid="{D5CDD505-2E9C-101B-9397-08002B2CF9AE}" pid="6" name="MSIP_Label_4bde8109-f994-4a60-a1d3-5c95e2ff3620_SiteId">
    <vt:lpwstr>1321633e-f6b9-44e2-a44f-59b9d264ecb7</vt:lpwstr>
  </property>
  <property fmtid="{D5CDD505-2E9C-101B-9397-08002B2CF9AE}" pid="7" name="MSIP_Label_4bde8109-f994-4a60-a1d3-5c95e2ff3620_ActionId">
    <vt:lpwstr>fbfdfdd3-89c4-4a30-bc4e-0c20dc78271d</vt:lpwstr>
  </property>
  <property fmtid="{D5CDD505-2E9C-101B-9397-08002B2CF9AE}" pid="8" name="MSIP_Label_4bde8109-f994-4a60-a1d3-5c95e2ff3620_ContentBits">
    <vt:lpwstr>0</vt:lpwstr>
  </property>
</Properties>
</file>