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T:\DR\Contentmanagement\Opdrachten 2023\Opmaak pdf\WIS\"/>
    </mc:Choice>
  </mc:AlternateContent>
  <xr:revisionPtr revIDLastSave="0" documentId="8_{D9D457B8-E3D3-4D63-B659-3662E7E90CFD}" xr6:coauthVersionLast="47" xr6:coauthVersionMax="47" xr10:uidLastSave="{00000000-0000-0000-0000-000000000000}"/>
  <workbookProtection workbookAlgorithmName="SHA-512" workbookHashValue="SxBNkniZJkHFXtff3dvUBBMsfWU2oslu7wsdILV+BGidstcBmraOG4EDkcX2E2yPFLs8SHUJ/K2yfTp0CjdJmw==" workbookSaltValue="4kAAqPTlOvaMYhGSC93B2w==" workbookSpinCount="100000" lockStructure="1"/>
  <bookViews>
    <workbookView xWindow="-120" yWindow="-120" windowWidth="29040" windowHeight="15840" tabRatio="760" xr2:uid="{00000000-000D-0000-FFFF-FFFF00000000}"/>
  </bookViews>
  <sheets>
    <sheet name="Voor u begint" sheetId="302" r:id="rId1"/>
    <sheet name="Toelichting begroting " sheetId="305" r:id="rId2"/>
    <sheet name="Project" sheetId="34" r:id="rId3"/>
    <sheet name="Begroting" sheetId="214" r:id="rId4"/>
    <sheet name="Mijlpalenbegroting" sheetId="234" r:id="rId5"/>
    <sheet name="ORT uitgangspunten" sheetId="307" r:id="rId6"/>
    <sheet name="ORT aansluitingen" sheetId="308" r:id="rId7"/>
    <sheet name="Financiering" sheetId="93" r:id="rId8"/>
    <sheet name="Grafieken" sheetId="309" r:id="rId9"/>
    <sheet name="ORT Berekening" sheetId="310" r:id="rId10"/>
    <sheet name="Monitoring" sheetId="188" state="hidden" r:id="rId11"/>
    <sheet name="Lijsten" sheetId="235" state="hidden" r:id="rId12"/>
    <sheet name="ORT_Lijsten" sheetId="311" state="hidden" r:id="rId13"/>
  </sheets>
  <definedNames>
    <definedName name="_xlnm._FilterDatabase" localSheetId="2" hidden="1">Project!$A$7:$B$7</definedName>
    <definedName name="_xlnm.Print_Area" localSheetId="3">Begroting!$A$1:$J$242</definedName>
    <definedName name="_xlnm.Print_Area" localSheetId="7">Financiering!$A$1:$I$19</definedName>
    <definedName name="_xlnm.Print_Area" localSheetId="4">Mijlpalenbegroting!$B$1:$M$109</definedName>
    <definedName name="_xlnm.Print_Area" localSheetId="6">'ORT aansluitingen'!$A$1:$S$71</definedName>
    <definedName name="_xlnm.Print_Area" localSheetId="5">'ORT uitgangspunten'!$A$1:$M$72</definedName>
    <definedName name="_xlnm.Print_Area" localSheetId="2">Project!$A$1:$C$16</definedName>
    <definedName name="_xlnm.Print_Area" localSheetId="1">'Toelichting begroting '!$A$1:$Q$76</definedName>
    <definedName name="_xlnm.Print_Area" localSheetId="0">'Voor u begint'!$A$1:$P$126</definedName>
    <definedName name="_xlnm.Print_Titles" localSheetId="3">Begroting!$1:$7</definedName>
    <definedName name="BTW">Lijsten!$C$3:$C$5</definedName>
    <definedName name="Controleregel">'ORT aansluitingen'!$C$60</definedName>
    <definedName name="Controleregel_Cumulatief">'ORT aansluitingen'!$A$61</definedName>
    <definedName name="deelnemers">OFFSET(Project!$B$16,,,COUNTA(Project!$B$16:$B$16)+1)</definedName>
    <definedName name="Df_As">Lijsten!$H$9</definedName>
    <definedName name="Df_Gea">Lijsten!$H$8</definedName>
    <definedName name="Df_Gra">Lijsten!$H$7</definedName>
    <definedName name="Df_Os">Lijsten!$H$6</definedName>
    <definedName name="Df_Pw">Lijsten!$H$4</definedName>
    <definedName name="Df_Sw">Lijsten!$H$5</definedName>
    <definedName name="Eind_Groeperen">'ORT aansluitingen'!$B$61</definedName>
    <definedName name="Einddatum">Project!$C$12</definedName>
    <definedName name="Fase">Lijsten!$B$3:$B$12</definedName>
    <definedName name="IRR">'ORT uitgangspunten'!$G$33</definedName>
    <definedName name="Kolom_Startjaar">'ORT aansluitingen'!$U$19</definedName>
    <definedName name="Organisatietype">Lijsten!$A$3:$A$7</definedName>
    <definedName name="projectrendement">'ORT uitgangspunten'!$G$33</definedName>
    <definedName name="SrtWoning">Lijsten!$D$3:$D$5</definedName>
    <definedName name="Startdatum">Project!$B$12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1" i="214" l="1"/>
  <c r="I72" i="214"/>
  <c r="I73" i="214"/>
  <c r="I74" i="214"/>
  <c r="I75" i="214"/>
  <c r="I76" i="214"/>
  <c r="I77" i="214"/>
  <c r="I78" i="214"/>
  <c r="I79" i="214"/>
  <c r="I80" i="214"/>
  <c r="I81" i="214"/>
  <c r="I82" i="214"/>
  <c r="I83" i="214"/>
  <c r="I84" i="214"/>
  <c r="I70" i="214"/>
  <c r="G50" i="214"/>
  <c r="M66" i="310"/>
  <c r="E32" i="310" l="1"/>
  <c r="I48" i="214"/>
  <c r="I49" i="214"/>
  <c r="I50" i="214"/>
  <c r="I51" i="214"/>
  <c r="I52" i="214"/>
  <c r="I53" i="214"/>
  <c r="I54" i="214"/>
  <c r="I55" i="214"/>
  <c r="I56" i="214"/>
  <c r="I57" i="214"/>
  <c r="I58" i="214"/>
  <c r="I59" i="214"/>
  <c r="I60" i="214"/>
  <c r="I61" i="214"/>
  <c r="I62" i="214"/>
  <c r="I63" i="214"/>
  <c r="I47" i="214"/>
  <c r="G108" i="214"/>
  <c r="G85" i="214"/>
  <c r="G64" i="214"/>
  <c r="T2" i="188" l="1"/>
  <c r="F131" i="214" a="1"/>
  <c r="F131" i="214"/>
  <c r="G131" i="214" s="1"/>
  <c r="F130" i="214" a="1"/>
  <c r="F130" i="214"/>
  <c r="G130" i="214" s="1"/>
  <c r="Q113" i="214"/>
  <c r="G175" i="214"/>
  <c r="G59" i="308"/>
  <c r="G58" i="308"/>
  <c r="G22" i="308"/>
  <c r="I92" i="214"/>
  <c r="I93" i="214"/>
  <c r="I94" i="214"/>
  <c r="I95" i="214"/>
  <c r="I96" i="214"/>
  <c r="I97" i="214"/>
  <c r="I98" i="214"/>
  <c r="I99" i="214"/>
  <c r="I100" i="214"/>
  <c r="I101" i="214"/>
  <c r="I102" i="214"/>
  <c r="I103" i="214"/>
  <c r="I104" i="214"/>
  <c r="I105" i="214"/>
  <c r="I106" i="214"/>
  <c r="I107" i="214"/>
  <c r="I91" i="214"/>
  <c r="E36" i="310"/>
  <c r="V89" i="308"/>
  <c r="N41" i="310" s="1"/>
  <c r="W89" i="308"/>
  <c r="O41" i="310" s="1"/>
  <c r="X89" i="308"/>
  <c r="P41" i="310" s="1"/>
  <c r="Y89" i="308"/>
  <c r="Q41" i="310" s="1"/>
  <c r="Z89" i="308"/>
  <c r="R41" i="310" s="1"/>
  <c r="AA89" i="308"/>
  <c r="S41" i="310" s="1"/>
  <c r="AB89" i="308"/>
  <c r="T41" i="310" s="1"/>
  <c r="AC89" i="308"/>
  <c r="U41" i="310" s="1"/>
  <c r="AD89" i="308"/>
  <c r="V41" i="310" s="1"/>
  <c r="AE89" i="308"/>
  <c r="W41" i="310" s="1"/>
  <c r="AF89" i="308"/>
  <c r="X41" i="310" s="1"/>
  <c r="AG89" i="308"/>
  <c r="Y41" i="310" s="1"/>
  <c r="AH89" i="308"/>
  <c r="Z41" i="310" s="1"/>
  <c r="AI89" i="308"/>
  <c r="AA41" i="310" s="1"/>
  <c r="AJ89" i="308"/>
  <c r="AB41" i="310" s="1"/>
  <c r="AK89" i="308"/>
  <c r="AC41" i="310" s="1"/>
  <c r="AL89" i="308"/>
  <c r="AD41" i="310" s="1"/>
  <c r="AM89" i="308"/>
  <c r="AE41" i="310" s="1"/>
  <c r="AN89" i="308"/>
  <c r="AF41" i="310" s="1"/>
  <c r="AO89" i="308"/>
  <c r="AG41" i="310" s="1"/>
  <c r="AP89" i="308"/>
  <c r="AH41" i="310" s="1"/>
  <c r="AQ89" i="308"/>
  <c r="AI41" i="310" s="1"/>
  <c r="AR89" i="308"/>
  <c r="AJ41" i="310" s="1"/>
  <c r="AS89" i="308"/>
  <c r="AK41" i="310" s="1"/>
  <c r="AT89" i="308"/>
  <c r="AL41" i="310" s="1"/>
  <c r="AU89" i="308"/>
  <c r="AM41" i="310" s="1"/>
  <c r="AV89" i="308"/>
  <c r="AN41" i="310" s="1"/>
  <c r="AW89" i="308"/>
  <c r="AO41" i="310" s="1"/>
  <c r="AX89" i="308"/>
  <c r="AP41" i="310" s="1"/>
  <c r="AY89" i="308"/>
  <c r="AQ41" i="310" s="1"/>
  <c r="U89" i="308"/>
  <c r="M41" i="310" s="1"/>
  <c r="N89" i="308"/>
  <c r="E37" i="310"/>
  <c r="E40" i="310"/>
  <c r="G61" i="307"/>
  <c r="P83" i="307"/>
  <c r="M10" i="310" s="1"/>
  <c r="F10" i="310"/>
  <c r="E10" i="310"/>
  <c r="Q114" i="214"/>
  <c r="Q115" i="214"/>
  <c r="Q116" i="214"/>
  <c r="Q117" i="214"/>
  <c r="Q118" i="214"/>
  <c r="Q119" i="214"/>
  <c r="Q120" i="214"/>
  <c r="Q121" i="214"/>
  <c r="Q122" i="214"/>
  <c r="Q123" i="214"/>
  <c r="Q124" i="214"/>
  <c r="Q125" i="214"/>
  <c r="Q126" i="214"/>
  <c r="Q127" i="214"/>
  <c r="Q128" i="214"/>
  <c r="Q129" i="214"/>
  <c r="D85" i="214"/>
  <c r="G52" i="307"/>
  <c r="D108" i="214"/>
  <c r="E2" i="311"/>
  <c r="E3" i="311"/>
  <c r="E4" i="311"/>
  <c r="M6" i="310"/>
  <c r="E9" i="310"/>
  <c r="F9" i="310"/>
  <c r="E12" i="310"/>
  <c r="E13" i="310"/>
  <c r="F13" i="310"/>
  <c r="E16" i="310"/>
  <c r="E17" i="310"/>
  <c r="F17" i="310"/>
  <c r="E20" i="310"/>
  <c r="E21" i="310"/>
  <c r="F21" i="310"/>
  <c r="E24" i="310"/>
  <c r="E25" i="310"/>
  <c r="E28" i="310"/>
  <c r="E29" i="310"/>
  <c r="E33" i="310"/>
  <c r="F49" i="310"/>
  <c r="M50" i="310"/>
  <c r="M51" i="310"/>
  <c r="F53" i="310"/>
  <c r="M54" i="310"/>
  <c r="M55" i="310"/>
  <c r="M57" i="310"/>
  <c r="E61" i="310"/>
  <c r="F61" i="310"/>
  <c r="G61" i="310"/>
  <c r="E62" i="310"/>
  <c r="F62" i="310"/>
  <c r="G62" i="310"/>
  <c r="E63" i="310"/>
  <c r="F63" i="310"/>
  <c r="G63" i="310"/>
  <c r="E71" i="310"/>
  <c r="F71" i="310"/>
  <c r="G71" i="310"/>
  <c r="E79" i="310"/>
  <c r="F79" i="310"/>
  <c r="G79" i="310"/>
  <c r="E83" i="310"/>
  <c r="F83" i="310"/>
  <c r="G83" i="310"/>
  <c r="E89" i="310"/>
  <c r="E90" i="310"/>
  <c r="G90" i="310"/>
  <c r="E91" i="310"/>
  <c r="G91" i="310"/>
  <c r="E94" i="310"/>
  <c r="F94" i="310"/>
  <c r="G94" i="310"/>
  <c r="M94" i="310"/>
  <c r="E95" i="310"/>
  <c r="F95" i="310"/>
  <c r="G95" i="310"/>
  <c r="M95" i="310"/>
  <c r="E96" i="310"/>
  <c r="G96" i="310"/>
  <c r="E99" i="310"/>
  <c r="E102" i="310"/>
  <c r="M102" i="310"/>
  <c r="E109" i="310"/>
  <c r="M110" i="310"/>
  <c r="M111" i="310"/>
  <c r="M118" i="310"/>
  <c r="F125" i="310"/>
  <c r="F128" i="310"/>
  <c r="F129" i="310"/>
  <c r="E132" i="310"/>
  <c r="F132" i="310"/>
  <c r="E136" i="310"/>
  <c r="F136" i="310"/>
  <c r="E137" i="310"/>
  <c r="F137" i="310"/>
  <c r="E138" i="310"/>
  <c r="F138" i="310"/>
  <c r="E139" i="310"/>
  <c r="F139" i="310"/>
  <c r="E145" i="310"/>
  <c r="F145" i="310"/>
  <c r="E146" i="310"/>
  <c r="F146" i="310"/>
  <c r="G146" i="310"/>
  <c r="U19" i="308"/>
  <c r="V19" i="308"/>
  <c r="W19" i="308"/>
  <c r="X19" i="308"/>
  <c r="Y19" i="308"/>
  <c r="Z19" i="308"/>
  <c r="AA19" i="308"/>
  <c r="AB19" i="308"/>
  <c r="AC19" i="308"/>
  <c r="AD19" i="308"/>
  <c r="AE19" i="308"/>
  <c r="AF19" i="308"/>
  <c r="AG19" i="308"/>
  <c r="AH19" i="308"/>
  <c r="AI19" i="308"/>
  <c r="AJ19" i="308"/>
  <c r="AK19" i="308"/>
  <c r="AL19" i="308"/>
  <c r="AM19" i="308"/>
  <c r="AN19" i="308"/>
  <c r="AO19" i="308"/>
  <c r="AP19" i="308"/>
  <c r="AQ19" i="308"/>
  <c r="AR19" i="308"/>
  <c r="AS19" i="308"/>
  <c r="AT19" i="308"/>
  <c r="AU19" i="308"/>
  <c r="AV19" i="308"/>
  <c r="AW19" i="308"/>
  <c r="AX19" i="308"/>
  <c r="AY19" i="308"/>
  <c r="U23" i="308"/>
  <c r="V23" i="308"/>
  <c r="W23" i="308"/>
  <c r="X23" i="308"/>
  <c r="Y23" i="308"/>
  <c r="Z23" i="308"/>
  <c r="AA23" i="308"/>
  <c r="AB23" i="308"/>
  <c r="AC23" i="308"/>
  <c r="AD23" i="308"/>
  <c r="AE23" i="308"/>
  <c r="AF23" i="308"/>
  <c r="AG23" i="308"/>
  <c r="AH23" i="308"/>
  <c r="AI23" i="308"/>
  <c r="AJ23" i="308"/>
  <c r="AK23" i="308"/>
  <c r="AL23" i="308"/>
  <c r="AM23" i="308"/>
  <c r="AN23" i="308"/>
  <c r="AO23" i="308"/>
  <c r="AP23" i="308"/>
  <c r="AQ23" i="308"/>
  <c r="AR23" i="308"/>
  <c r="AS23" i="308"/>
  <c r="AT23" i="308"/>
  <c r="AU23" i="308"/>
  <c r="AV23" i="308"/>
  <c r="AW23" i="308"/>
  <c r="AX23" i="308"/>
  <c r="AY23" i="308"/>
  <c r="I24" i="308"/>
  <c r="G29" i="308"/>
  <c r="H29" i="308"/>
  <c r="I29" i="308"/>
  <c r="J29" i="308"/>
  <c r="K29" i="308"/>
  <c r="L29" i="308"/>
  <c r="M29" i="308"/>
  <c r="N29" i="308"/>
  <c r="U29" i="308"/>
  <c r="V29" i="308"/>
  <c r="W29" i="308"/>
  <c r="X29" i="308"/>
  <c r="Y29" i="308"/>
  <c r="Z29" i="308"/>
  <c r="AA29" i="308"/>
  <c r="AB29" i="308"/>
  <c r="AC29" i="308"/>
  <c r="AD29" i="308"/>
  <c r="AE29" i="308"/>
  <c r="AF29" i="308"/>
  <c r="AG29" i="308"/>
  <c r="AH29" i="308"/>
  <c r="AI29" i="308"/>
  <c r="AJ29" i="308"/>
  <c r="AK29" i="308"/>
  <c r="AL29" i="308"/>
  <c r="AM29" i="308"/>
  <c r="AN29" i="308"/>
  <c r="AO29" i="308"/>
  <c r="AP29" i="308"/>
  <c r="AQ29" i="308"/>
  <c r="AR29" i="308"/>
  <c r="AS29" i="308"/>
  <c r="AT29" i="308"/>
  <c r="AU29" i="308"/>
  <c r="AV29" i="308"/>
  <c r="AW29" i="308"/>
  <c r="AX29" i="308"/>
  <c r="AY29" i="308"/>
  <c r="G42" i="308"/>
  <c r="H42" i="308"/>
  <c r="I42" i="308"/>
  <c r="J42" i="308"/>
  <c r="K42" i="308"/>
  <c r="L42" i="308"/>
  <c r="M42" i="308"/>
  <c r="N42" i="308"/>
  <c r="U79" i="308"/>
  <c r="V79" i="308"/>
  <c r="N13" i="310" s="1"/>
  <c r="W79" i="308"/>
  <c r="O13" i="310" s="1"/>
  <c r="X79" i="308"/>
  <c r="P13" i="310" s="1"/>
  <c r="Y79" i="308"/>
  <c r="Q13" i="310" s="1"/>
  <c r="Z79" i="308"/>
  <c r="R13" i="310" s="1"/>
  <c r="AA79" i="308"/>
  <c r="S13" i="310" s="1"/>
  <c r="AB79" i="308"/>
  <c r="T13" i="310" s="1"/>
  <c r="AC79" i="308"/>
  <c r="U13" i="310" s="1"/>
  <c r="AD79" i="308"/>
  <c r="V13" i="310" s="1"/>
  <c r="AE79" i="308"/>
  <c r="W13" i="310" s="1"/>
  <c r="AF79" i="308"/>
  <c r="X13" i="310" s="1"/>
  <c r="AG79" i="308"/>
  <c r="Y13" i="310" s="1"/>
  <c r="AH79" i="308"/>
  <c r="Z13" i="310" s="1"/>
  <c r="AI79" i="308"/>
  <c r="AA13" i="310" s="1"/>
  <c r="AJ79" i="308"/>
  <c r="AB13" i="310" s="1"/>
  <c r="AK79" i="308"/>
  <c r="AC13" i="310" s="1"/>
  <c r="AL79" i="308"/>
  <c r="AD13" i="310" s="1"/>
  <c r="AM79" i="308"/>
  <c r="AE13" i="310" s="1"/>
  <c r="AN79" i="308"/>
  <c r="AF13" i="310" s="1"/>
  <c r="AO79" i="308"/>
  <c r="AG13" i="310" s="1"/>
  <c r="AP79" i="308"/>
  <c r="AH13" i="310" s="1"/>
  <c r="AQ79" i="308"/>
  <c r="AI13" i="310" s="1"/>
  <c r="AR79" i="308"/>
  <c r="AJ13" i="310" s="1"/>
  <c r="AS79" i="308"/>
  <c r="AK13" i="310" s="1"/>
  <c r="AT79" i="308"/>
  <c r="AL13" i="310" s="1"/>
  <c r="AU79" i="308"/>
  <c r="AM13" i="310" s="1"/>
  <c r="AV79" i="308"/>
  <c r="AN13" i="310" s="1"/>
  <c r="AW79" i="308"/>
  <c r="AO13" i="310" s="1"/>
  <c r="AX79" i="308"/>
  <c r="AP13" i="310" s="1"/>
  <c r="AY79" i="308"/>
  <c r="AQ13" i="310" s="1"/>
  <c r="U80" i="308"/>
  <c r="V80" i="308"/>
  <c r="N17" i="310" s="1"/>
  <c r="W80" i="308"/>
  <c r="O17" i="310" s="1"/>
  <c r="X80" i="308"/>
  <c r="P17" i="310" s="1"/>
  <c r="Y80" i="308"/>
  <c r="Q17" i="310" s="1"/>
  <c r="Z80" i="308"/>
  <c r="R17" i="310" s="1"/>
  <c r="AA80" i="308"/>
  <c r="S17" i="310" s="1"/>
  <c r="AB80" i="308"/>
  <c r="T17" i="310" s="1"/>
  <c r="AC80" i="308"/>
  <c r="U17" i="310" s="1"/>
  <c r="AD80" i="308"/>
  <c r="V17" i="310" s="1"/>
  <c r="AE80" i="308"/>
  <c r="W17" i="310" s="1"/>
  <c r="AF80" i="308"/>
  <c r="X17" i="310" s="1"/>
  <c r="AG80" i="308"/>
  <c r="Y17" i="310" s="1"/>
  <c r="AH80" i="308"/>
  <c r="Z17" i="310" s="1"/>
  <c r="AI80" i="308"/>
  <c r="AA17" i="310" s="1"/>
  <c r="AJ80" i="308"/>
  <c r="AB17" i="310" s="1"/>
  <c r="AK80" i="308"/>
  <c r="AC17" i="310" s="1"/>
  <c r="AL80" i="308"/>
  <c r="AD17" i="310" s="1"/>
  <c r="AM80" i="308"/>
  <c r="AE17" i="310" s="1"/>
  <c r="AN80" i="308"/>
  <c r="AF17" i="310" s="1"/>
  <c r="AO80" i="308"/>
  <c r="AG17" i="310" s="1"/>
  <c r="AP80" i="308"/>
  <c r="AH17" i="310" s="1"/>
  <c r="AQ80" i="308"/>
  <c r="AI17" i="310" s="1"/>
  <c r="AR80" i="308"/>
  <c r="AJ17" i="310" s="1"/>
  <c r="AS80" i="308"/>
  <c r="AK17" i="310" s="1"/>
  <c r="AT80" i="308"/>
  <c r="AL17" i="310" s="1"/>
  <c r="AU80" i="308"/>
  <c r="AM17" i="310" s="1"/>
  <c r="AV80" i="308"/>
  <c r="AN17" i="310" s="1"/>
  <c r="AW80" i="308"/>
  <c r="AO17" i="310" s="1"/>
  <c r="AX80" i="308"/>
  <c r="AP17" i="310" s="1"/>
  <c r="AY80" i="308"/>
  <c r="AQ17" i="310" s="1"/>
  <c r="U82" i="308"/>
  <c r="V82" i="308"/>
  <c r="N21" i="310" s="1"/>
  <c r="W82" i="308"/>
  <c r="O21" i="310" s="1"/>
  <c r="X82" i="308"/>
  <c r="P21" i="310" s="1"/>
  <c r="Y82" i="308"/>
  <c r="Q21" i="310" s="1"/>
  <c r="Z82" i="308"/>
  <c r="R21" i="310" s="1"/>
  <c r="AA82" i="308"/>
  <c r="S21" i="310" s="1"/>
  <c r="AB82" i="308"/>
  <c r="T21" i="310" s="1"/>
  <c r="AC82" i="308"/>
  <c r="U21" i="310" s="1"/>
  <c r="AD82" i="308"/>
  <c r="V21" i="310" s="1"/>
  <c r="AE82" i="308"/>
  <c r="W21" i="310" s="1"/>
  <c r="AF82" i="308"/>
  <c r="X21" i="310" s="1"/>
  <c r="AG82" i="308"/>
  <c r="Y21" i="310" s="1"/>
  <c r="AH82" i="308"/>
  <c r="Z21" i="310" s="1"/>
  <c r="AI82" i="308"/>
  <c r="AA21" i="310" s="1"/>
  <c r="AJ82" i="308"/>
  <c r="AB21" i="310" s="1"/>
  <c r="AK82" i="308"/>
  <c r="AC21" i="310" s="1"/>
  <c r="AL82" i="308"/>
  <c r="AD21" i="310" s="1"/>
  <c r="AM82" i="308"/>
  <c r="AE21" i="310" s="1"/>
  <c r="AN82" i="308"/>
  <c r="AF21" i="310" s="1"/>
  <c r="AO82" i="308"/>
  <c r="AG21" i="310" s="1"/>
  <c r="AP82" i="308"/>
  <c r="AH21" i="310" s="1"/>
  <c r="AQ82" i="308"/>
  <c r="AI21" i="310" s="1"/>
  <c r="AR82" i="308"/>
  <c r="AJ21" i="310" s="1"/>
  <c r="AS82" i="308"/>
  <c r="AK21" i="310" s="1"/>
  <c r="AT82" i="308"/>
  <c r="AL21" i="310" s="1"/>
  <c r="AU82" i="308"/>
  <c r="AM21" i="310" s="1"/>
  <c r="AV82" i="308"/>
  <c r="AN21" i="310" s="1"/>
  <c r="AW82" i="308"/>
  <c r="AO21" i="310" s="1"/>
  <c r="AX82" i="308"/>
  <c r="AP21" i="310" s="1"/>
  <c r="AY82" i="308"/>
  <c r="AQ21" i="310" s="1"/>
  <c r="P22" i="307"/>
  <c r="M5" i="310" s="1"/>
  <c r="C16" i="234" s="1"/>
  <c r="Q22" i="307"/>
  <c r="N5" i="310" s="1"/>
  <c r="D16" i="234" s="1"/>
  <c r="R22" i="307"/>
  <c r="O5" i="310" s="1"/>
  <c r="E16" i="234" s="1"/>
  <c r="S22" i="307"/>
  <c r="P5" i="310" s="1"/>
  <c r="F16" i="234" s="1"/>
  <c r="T22" i="307"/>
  <c r="Q5" i="310" s="1"/>
  <c r="G16" i="234" s="1"/>
  <c r="U22" i="307"/>
  <c r="R5" i="310" s="1"/>
  <c r="H16" i="234" s="1"/>
  <c r="V22" i="307"/>
  <c r="S5" i="310" s="1"/>
  <c r="I16" i="234" s="1"/>
  <c r="W22" i="307"/>
  <c r="T5" i="310" s="1"/>
  <c r="J16" i="234" s="1"/>
  <c r="X22" i="307"/>
  <c r="U5" i="310" s="1"/>
  <c r="K16" i="234" s="1"/>
  <c r="Y22" i="307"/>
  <c r="V5" i="310" s="1"/>
  <c r="L16" i="234" s="1"/>
  <c r="Z22" i="307"/>
  <c r="W5" i="310" s="1"/>
  <c r="M16" i="234" s="1"/>
  <c r="AA22" i="307"/>
  <c r="X5" i="310" s="1"/>
  <c r="AB22" i="307"/>
  <c r="Y5" i="310" s="1"/>
  <c r="AC22" i="307"/>
  <c r="Z5" i="310" s="1"/>
  <c r="AD22" i="307"/>
  <c r="AA5" i="310" s="1"/>
  <c r="AE22" i="307"/>
  <c r="AB5" i="310" s="1"/>
  <c r="AF22" i="307"/>
  <c r="AC5" i="310" s="1"/>
  <c r="AG22" i="307"/>
  <c r="AD5" i="310" s="1"/>
  <c r="AH22" i="307"/>
  <c r="AE5" i="310" s="1"/>
  <c r="AI22" i="307"/>
  <c r="AF5" i="310" s="1"/>
  <c r="AJ22" i="307"/>
  <c r="AG5" i="310" s="1"/>
  <c r="AK22" i="307"/>
  <c r="AH5" i="310" s="1"/>
  <c r="AL22" i="307"/>
  <c r="AI5" i="310" s="1"/>
  <c r="AM22" i="307"/>
  <c r="AJ5" i="310" s="1"/>
  <c r="AN22" i="307"/>
  <c r="AK5" i="310" s="1"/>
  <c r="AO22" i="307"/>
  <c r="AL5" i="310" s="1"/>
  <c r="AP22" i="307"/>
  <c r="AM5" i="310" s="1"/>
  <c r="AQ22" i="307"/>
  <c r="AN5" i="310" s="1"/>
  <c r="AR22" i="307"/>
  <c r="AO5" i="310" s="1"/>
  <c r="AS22" i="307"/>
  <c r="AP5" i="310" s="1"/>
  <c r="AT22" i="307"/>
  <c r="AQ5" i="310" s="1"/>
  <c r="AU22" i="307"/>
  <c r="AV22" i="307"/>
  <c r="AW22" i="307"/>
  <c r="AX22" i="307"/>
  <c r="AY22" i="307"/>
  <c r="AZ22" i="307"/>
  <c r="BA22" i="307"/>
  <c r="BB22" i="307"/>
  <c r="BC22" i="307"/>
  <c r="BD22" i="307"/>
  <c r="BE22" i="307"/>
  <c r="BF22" i="307"/>
  <c r="BG22" i="307"/>
  <c r="BH22" i="307"/>
  <c r="BI22" i="307"/>
  <c r="BJ22" i="307"/>
  <c r="BK22" i="307"/>
  <c r="BL22" i="307"/>
  <c r="BM22" i="307"/>
  <c r="BN22" i="307"/>
  <c r="BO22" i="307"/>
  <c r="BP22" i="307"/>
  <c r="BQ22" i="307"/>
  <c r="BR22" i="307"/>
  <c r="BS22" i="307"/>
  <c r="BT22" i="307"/>
  <c r="BU22" i="307"/>
  <c r="BV22" i="307"/>
  <c r="BW22" i="307"/>
  <c r="G39" i="307"/>
  <c r="F90" i="310" s="1"/>
  <c r="G40" i="307"/>
  <c r="F91" i="310" s="1"/>
  <c r="G41" i="307"/>
  <c r="F96" i="310" s="1"/>
  <c r="P43" i="307"/>
  <c r="Q43" i="307"/>
  <c r="R43" i="307"/>
  <c r="S43" i="307"/>
  <c r="T43" i="307"/>
  <c r="U43" i="307"/>
  <c r="V43" i="307"/>
  <c r="W43" i="307"/>
  <c r="G46" i="307"/>
  <c r="G49" i="307"/>
  <c r="G53" i="307"/>
  <c r="P74" i="307"/>
  <c r="Q74" i="307"/>
  <c r="R74" i="307"/>
  <c r="S74" i="307"/>
  <c r="T74" i="307"/>
  <c r="U74" i="307"/>
  <c r="V74" i="307"/>
  <c r="W74" i="307"/>
  <c r="X74" i="307"/>
  <c r="Y74" i="307"/>
  <c r="Z74" i="307"/>
  <c r="AA74" i="307"/>
  <c r="AB74" i="307"/>
  <c r="AC74" i="307"/>
  <c r="AD74" i="307"/>
  <c r="AE74" i="307"/>
  <c r="AF74" i="307"/>
  <c r="AG74" i="307"/>
  <c r="AH74" i="307"/>
  <c r="AI74" i="307"/>
  <c r="AJ74" i="307"/>
  <c r="AK74" i="307"/>
  <c r="AL74" i="307"/>
  <c r="AM74" i="307"/>
  <c r="AN74" i="307"/>
  <c r="AO74" i="307"/>
  <c r="AP74" i="307"/>
  <c r="AQ74" i="307"/>
  <c r="AR74" i="307"/>
  <c r="AS74" i="307"/>
  <c r="AT74" i="307"/>
  <c r="AU74" i="307"/>
  <c r="AV74" i="307"/>
  <c r="AW74" i="307"/>
  <c r="AX74" i="307"/>
  <c r="AY74" i="307"/>
  <c r="AZ74" i="307"/>
  <c r="BA74" i="307"/>
  <c r="BB74" i="307"/>
  <c r="BC74" i="307"/>
  <c r="BD74" i="307"/>
  <c r="BE74" i="307"/>
  <c r="BF74" i="307"/>
  <c r="BG74" i="307"/>
  <c r="BH74" i="307"/>
  <c r="BI74" i="307"/>
  <c r="BJ74" i="307"/>
  <c r="BK74" i="307"/>
  <c r="BL74" i="307"/>
  <c r="BM74" i="307"/>
  <c r="BN74" i="307"/>
  <c r="BO74" i="307"/>
  <c r="BP74" i="307"/>
  <c r="BQ74" i="307"/>
  <c r="BR74" i="307"/>
  <c r="BS74" i="307"/>
  <c r="BT74" i="307"/>
  <c r="BU74" i="307"/>
  <c r="BV74" i="307"/>
  <c r="BW74" i="307"/>
  <c r="I76" i="307"/>
  <c r="E77" i="307"/>
  <c r="P79" i="307"/>
  <c r="U76" i="308" s="1"/>
  <c r="V76" i="308" s="1"/>
  <c r="W76" i="308" s="1"/>
  <c r="X76" i="308" s="1"/>
  <c r="Y76" i="308" s="1"/>
  <c r="Z76" i="308" s="1"/>
  <c r="AA76" i="308" s="1"/>
  <c r="AB76" i="308" s="1"/>
  <c r="AC76" i="308" s="1"/>
  <c r="AD76" i="308" s="1"/>
  <c r="AE76" i="308" s="1"/>
  <c r="AF76" i="308" s="1"/>
  <c r="AG76" i="308" s="1"/>
  <c r="AH76" i="308" s="1"/>
  <c r="AI76" i="308" s="1"/>
  <c r="AJ76" i="308" s="1"/>
  <c r="AK76" i="308" s="1"/>
  <c r="AL76" i="308" s="1"/>
  <c r="AM76" i="308" s="1"/>
  <c r="AN76" i="308" s="1"/>
  <c r="AO76" i="308" s="1"/>
  <c r="AP76" i="308" s="1"/>
  <c r="AQ76" i="308" s="1"/>
  <c r="AR76" i="308" s="1"/>
  <c r="AS76" i="308" s="1"/>
  <c r="AT76" i="308" s="1"/>
  <c r="AU76" i="308" s="1"/>
  <c r="AV76" i="308" s="1"/>
  <c r="AW76" i="308" s="1"/>
  <c r="AX76" i="308" s="1"/>
  <c r="AY76" i="308" s="1"/>
  <c r="Q79" i="307"/>
  <c r="R79" i="307"/>
  <c r="S79" i="307"/>
  <c r="T79" i="307"/>
  <c r="U79" i="307"/>
  <c r="V79" i="307"/>
  <c r="W79" i="307"/>
  <c r="X79" i="307"/>
  <c r="Y79" i="307"/>
  <c r="Z79" i="307"/>
  <c r="AA79" i="307"/>
  <c r="AB79" i="307"/>
  <c r="AC79" i="307"/>
  <c r="AD79" i="307"/>
  <c r="AE79" i="307"/>
  <c r="AF79" i="307"/>
  <c r="AG79" i="307"/>
  <c r="AH79" i="307"/>
  <c r="AI79" i="307"/>
  <c r="AJ79" i="307"/>
  <c r="AK79" i="307"/>
  <c r="AL79" i="307"/>
  <c r="AM79" i="307"/>
  <c r="AN79" i="307"/>
  <c r="AO79" i="307"/>
  <c r="AP79" i="307"/>
  <c r="AQ79" i="307"/>
  <c r="AR79" i="307"/>
  <c r="AS79" i="307"/>
  <c r="AT79" i="307"/>
  <c r="AU79" i="307"/>
  <c r="AV79" i="307"/>
  <c r="AW79" i="307"/>
  <c r="AX79" i="307"/>
  <c r="AY79" i="307"/>
  <c r="AZ79" i="307"/>
  <c r="BA79" i="307"/>
  <c r="BB79" i="307"/>
  <c r="BC79" i="307"/>
  <c r="BD79" i="307"/>
  <c r="BE79" i="307"/>
  <c r="BF79" i="307"/>
  <c r="BG79" i="307"/>
  <c r="BH79" i="307"/>
  <c r="BI79" i="307"/>
  <c r="BJ79" i="307"/>
  <c r="BK79" i="307"/>
  <c r="BL79" i="307"/>
  <c r="BM79" i="307"/>
  <c r="BN79" i="307"/>
  <c r="BO79" i="307"/>
  <c r="BP79" i="307"/>
  <c r="BQ79" i="307"/>
  <c r="BR79" i="307"/>
  <c r="BS79" i="307"/>
  <c r="BT79" i="307"/>
  <c r="BU79" i="307"/>
  <c r="BV79" i="307"/>
  <c r="BW79" i="307"/>
  <c r="Q80" i="307"/>
  <c r="R80" i="307"/>
  <c r="S80" i="307"/>
  <c r="T80" i="307"/>
  <c r="U80" i="307"/>
  <c r="V80" i="307"/>
  <c r="W80" i="307"/>
  <c r="X80" i="307"/>
  <c r="Y80" i="307"/>
  <c r="Z80" i="307"/>
  <c r="AA80" i="307"/>
  <c r="AB80" i="307"/>
  <c r="AC80" i="307"/>
  <c r="AD80" i="307"/>
  <c r="AE80" i="307"/>
  <c r="AF80" i="307"/>
  <c r="AG80" i="307"/>
  <c r="AH80" i="307"/>
  <c r="AI80" i="307"/>
  <c r="AJ80" i="307"/>
  <c r="AK80" i="307"/>
  <c r="AL80" i="307"/>
  <c r="AM80" i="307"/>
  <c r="AN80" i="307"/>
  <c r="AO80" i="307"/>
  <c r="AP80" i="307"/>
  <c r="AQ80" i="307"/>
  <c r="AR80" i="307"/>
  <c r="AS80" i="307"/>
  <c r="AT80" i="307"/>
  <c r="AU80" i="307"/>
  <c r="AU83" i="307" s="1"/>
  <c r="AV80" i="307"/>
  <c r="AV83" i="307" s="1"/>
  <c r="AW80" i="307"/>
  <c r="AW83" i="307" s="1"/>
  <c r="AX80" i="307"/>
  <c r="AX83" i="307" s="1"/>
  <c r="AY80" i="307"/>
  <c r="AY83" i="307" s="1"/>
  <c r="AZ80" i="307"/>
  <c r="AZ83" i="307" s="1"/>
  <c r="BA80" i="307"/>
  <c r="BA83" i="307" s="1"/>
  <c r="BB80" i="307"/>
  <c r="BB83" i="307" s="1"/>
  <c r="BC80" i="307"/>
  <c r="BC83" i="307" s="1"/>
  <c r="BD80" i="307"/>
  <c r="BD83" i="307" s="1"/>
  <c r="BE80" i="307"/>
  <c r="BE83" i="307" s="1"/>
  <c r="BF80" i="307"/>
  <c r="BF83" i="307" s="1"/>
  <c r="BG80" i="307"/>
  <c r="BG83" i="307" s="1"/>
  <c r="BH80" i="307"/>
  <c r="BH83" i="307" s="1"/>
  <c r="BI80" i="307"/>
  <c r="BI83" i="307" s="1"/>
  <c r="BJ80" i="307"/>
  <c r="BJ83" i="307" s="1"/>
  <c r="BK80" i="307"/>
  <c r="BK83" i="307" s="1"/>
  <c r="BL80" i="307"/>
  <c r="BL83" i="307" s="1"/>
  <c r="BM80" i="307"/>
  <c r="BM83" i="307" s="1"/>
  <c r="BN80" i="307"/>
  <c r="BN83" i="307" s="1"/>
  <c r="BO80" i="307"/>
  <c r="BO83" i="307" s="1"/>
  <c r="BP80" i="307"/>
  <c r="BP83" i="307" s="1"/>
  <c r="BQ80" i="307"/>
  <c r="BQ83" i="307" s="1"/>
  <c r="BR80" i="307"/>
  <c r="BR83" i="307" s="1"/>
  <c r="BS80" i="307"/>
  <c r="BS83" i="307" s="1"/>
  <c r="BT80" i="307"/>
  <c r="BT83" i="307" s="1"/>
  <c r="BU80" i="307"/>
  <c r="BU83" i="307" s="1"/>
  <c r="BV80" i="307"/>
  <c r="BV83" i="307" s="1"/>
  <c r="BW80" i="307"/>
  <c r="BW83" i="307" s="1"/>
  <c r="P82" i="307"/>
  <c r="M9" i="310" s="1"/>
  <c r="Q82" i="307"/>
  <c r="N9" i="310" s="1"/>
  <c r="R82" i="307"/>
  <c r="O9" i="310" s="1"/>
  <c r="S82" i="307"/>
  <c r="P9" i="310" s="1"/>
  <c r="T82" i="307"/>
  <c r="Q9" i="310" s="1"/>
  <c r="U82" i="307"/>
  <c r="R9" i="310" s="1"/>
  <c r="V82" i="307"/>
  <c r="S9" i="310" s="1"/>
  <c r="W82" i="307"/>
  <c r="T9" i="310" s="1"/>
  <c r="X82" i="307"/>
  <c r="U9" i="310" s="1"/>
  <c r="Y82" i="307"/>
  <c r="V9" i="310" s="1"/>
  <c r="Z82" i="307"/>
  <c r="W9" i="310" s="1"/>
  <c r="AA82" i="307"/>
  <c r="X9" i="310" s="1"/>
  <c r="AB82" i="307"/>
  <c r="Y9" i="310" s="1"/>
  <c r="AC82" i="307"/>
  <c r="Z9" i="310" s="1"/>
  <c r="AD82" i="307"/>
  <c r="AA9" i="310" s="1"/>
  <c r="AE82" i="307"/>
  <c r="AB9" i="310" s="1"/>
  <c r="AF82" i="307"/>
  <c r="AC9" i="310" s="1"/>
  <c r="AG82" i="307"/>
  <c r="AD9" i="310" s="1"/>
  <c r="AH82" i="307"/>
  <c r="AE9" i="310" s="1"/>
  <c r="AI82" i="307"/>
  <c r="AF9" i="310" s="1"/>
  <c r="AJ82" i="307"/>
  <c r="AG9" i="310" s="1"/>
  <c r="AK82" i="307"/>
  <c r="AH9" i="310" s="1"/>
  <c r="AL82" i="307"/>
  <c r="AI9" i="310" s="1"/>
  <c r="AM82" i="307"/>
  <c r="AJ9" i="310" s="1"/>
  <c r="AN82" i="307"/>
  <c r="AK9" i="310" s="1"/>
  <c r="AO82" i="307"/>
  <c r="AL9" i="310" s="1"/>
  <c r="AP82" i="307"/>
  <c r="AM9" i="310" s="1"/>
  <c r="AQ82" i="307"/>
  <c r="AN9" i="310" s="1"/>
  <c r="AR82" i="307"/>
  <c r="AO9" i="310" s="1"/>
  <c r="AS82" i="307"/>
  <c r="AP9" i="310" s="1"/>
  <c r="AT82" i="307"/>
  <c r="AQ9" i="310" s="1"/>
  <c r="AU82" i="307"/>
  <c r="AV82" i="307"/>
  <c r="AW82" i="307"/>
  <c r="AX82" i="307"/>
  <c r="AY82" i="307"/>
  <c r="AZ82" i="307"/>
  <c r="BA82" i="307"/>
  <c r="BB82" i="307"/>
  <c r="BC82" i="307"/>
  <c r="BD82" i="307"/>
  <c r="BE82" i="307"/>
  <c r="BF82" i="307"/>
  <c r="BG82" i="307"/>
  <c r="BH82" i="307"/>
  <c r="BI82" i="307"/>
  <c r="BJ82" i="307"/>
  <c r="BK82" i="307"/>
  <c r="BL82" i="307"/>
  <c r="BM82" i="307"/>
  <c r="BN82" i="307"/>
  <c r="BO82" i="307"/>
  <c r="BP82" i="307"/>
  <c r="BQ82" i="307"/>
  <c r="BR82" i="307"/>
  <c r="BS82" i="307"/>
  <c r="BT82" i="307"/>
  <c r="BU82" i="307"/>
  <c r="BV82" i="307"/>
  <c r="BW82" i="307"/>
  <c r="D64" i="214"/>
  <c r="F108" i="214"/>
  <c r="F85" i="214"/>
  <c r="F64" i="214"/>
  <c r="H22" i="234"/>
  <c r="I22" i="234"/>
  <c r="J22" i="234"/>
  <c r="K22" i="234"/>
  <c r="L22" i="234"/>
  <c r="D130" i="214"/>
  <c r="G132" i="214" s="1" a="1"/>
  <c r="G132" i="214" s="1"/>
  <c r="O181" i="214"/>
  <c r="Q190" i="214" s="1"/>
  <c r="E7" i="93" s="1"/>
  <c r="Q181" i="214"/>
  <c r="R2" i="188"/>
  <c r="O63" i="214"/>
  <c r="O48" i="214"/>
  <c r="O49" i="214"/>
  <c r="O50" i="214"/>
  <c r="O51" i="214"/>
  <c r="O52" i="214"/>
  <c r="O53" i="214"/>
  <c r="O54" i="214"/>
  <c r="O55" i="214"/>
  <c r="O56" i="214"/>
  <c r="O57" i="214"/>
  <c r="O58" i="214"/>
  <c r="O59" i="214"/>
  <c r="O60" i="214"/>
  <c r="O61" i="214"/>
  <c r="O62" i="214"/>
  <c r="O47" i="214"/>
  <c r="O71" i="214"/>
  <c r="O72" i="214"/>
  <c r="O73" i="214"/>
  <c r="O74" i="214"/>
  <c r="O75" i="214"/>
  <c r="O76" i="214"/>
  <c r="O77" i="214"/>
  <c r="O78" i="214"/>
  <c r="O79" i="214"/>
  <c r="O80" i="214"/>
  <c r="O81" i="214"/>
  <c r="O82" i="214"/>
  <c r="O83" i="214"/>
  <c r="O84" i="214"/>
  <c r="O70" i="214"/>
  <c r="O94" i="214"/>
  <c r="O95" i="214"/>
  <c r="O96" i="214"/>
  <c r="O97" i="214"/>
  <c r="O98" i="214"/>
  <c r="O99" i="214"/>
  <c r="O100" i="214"/>
  <c r="O101" i="214"/>
  <c r="O102" i="214"/>
  <c r="O103" i="214"/>
  <c r="O104" i="214"/>
  <c r="O105" i="214"/>
  <c r="O106" i="214"/>
  <c r="O107" i="214"/>
  <c r="O92" i="214"/>
  <c r="O93" i="214"/>
  <c r="O91" i="214"/>
  <c r="B6" i="93"/>
  <c r="B13" i="93"/>
  <c r="A13" i="93"/>
  <c r="N84" i="214"/>
  <c r="N107" i="214"/>
  <c r="N106" i="214"/>
  <c r="N105" i="214"/>
  <c r="N104" i="214"/>
  <c r="N103" i="214"/>
  <c r="N102" i="214"/>
  <c r="N101" i="214"/>
  <c r="N100" i="214"/>
  <c r="N99" i="214"/>
  <c r="N98" i="214"/>
  <c r="N97" i="214"/>
  <c r="N96" i="214"/>
  <c r="N95" i="214"/>
  <c r="N94" i="214"/>
  <c r="N93" i="214"/>
  <c r="N92" i="214"/>
  <c r="N91" i="214"/>
  <c r="N74" i="214"/>
  <c r="N75" i="214"/>
  <c r="N76" i="214"/>
  <c r="G77" i="214"/>
  <c r="N78" i="214"/>
  <c r="N83" i="214"/>
  <c r="N82" i="214"/>
  <c r="N81" i="214"/>
  <c r="N80" i="214"/>
  <c r="N79" i="214"/>
  <c r="N73" i="214"/>
  <c r="N72" i="214"/>
  <c r="N71" i="214"/>
  <c r="N70" i="214"/>
  <c r="N48" i="214"/>
  <c r="G49" i="214"/>
  <c r="N50" i="214"/>
  <c r="G51" i="214"/>
  <c r="P51" i="214"/>
  <c r="N52" i="214"/>
  <c r="G53" i="214"/>
  <c r="P53" i="214"/>
  <c r="N54" i="214"/>
  <c r="G55" i="214"/>
  <c r="N56" i="214"/>
  <c r="G57" i="214"/>
  <c r="P57" i="214"/>
  <c r="G58" i="214"/>
  <c r="G59" i="214"/>
  <c r="P59" i="214"/>
  <c r="N60" i="214"/>
  <c r="G61" i="214"/>
  <c r="G62" i="214"/>
  <c r="G63" i="214"/>
  <c r="P63" i="214"/>
  <c r="G47" i="214"/>
  <c r="F6" i="93"/>
  <c r="D6" i="93"/>
  <c r="A12" i="93"/>
  <c r="C6" i="93"/>
  <c r="A11" i="93"/>
  <c r="Q168" i="214"/>
  <c r="N2" i="188"/>
  <c r="Q176" i="214"/>
  <c r="Q188" i="214"/>
  <c r="C7" i="93"/>
  <c r="B11" i="93"/>
  <c r="E6" i="214"/>
  <c r="E7" i="214"/>
  <c r="Q147" i="214"/>
  <c r="K2" i="188"/>
  <c r="Q40" i="214"/>
  <c r="Q19" i="214"/>
  <c r="Q20" i="214"/>
  <c r="D22" i="234"/>
  <c r="Q21" i="214"/>
  <c r="Q22" i="214"/>
  <c r="Q23" i="214"/>
  <c r="Q24" i="214"/>
  <c r="Q25" i="214"/>
  <c r="Q26" i="214"/>
  <c r="Q27" i="214"/>
  <c r="Q28" i="214"/>
  <c r="Q29" i="214"/>
  <c r="Q30" i="214"/>
  <c r="Q31" i="214"/>
  <c r="Q32" i="214"/>
  <c r="Q33" i="214"/>
  <c r="Q34" i="214"/>
  <c r="Q35" i="214"/>
  <c r="Q36" i="214"/>
  <c r="Q37" i="214"/>
  <c r="Q38" i="214"/>
  <c r="Q39" i="214"/>
  <c r="Q18" i="214"/>
  <c r="E2" i="188"/>
  <c r="B22" i="234"/>
  <c r="F1" i="214"/>
  <c r="B13" i="34"/>
  <c r="D13" i="34"/>
  <c r="C3" i="234"/>
  <c r="C2" i="234"/>
  <c r="D2" i="188"/>
  <c r="C2" i="188"/>
  <c r="B2" i="188"/>
  <c r="C3" i="93"/>
  <c r="A7" i="93"/>
  <c r="C2" i="93"/>
  <c r="S2" i="188"/>
  <c r="N58" i="214"/>
  <c r="N61" i="214"/>
  <c r="N47" i="214"/>
  <c r="G60" i="214"/>
  <c r="G56" i="214"/>
  <c r="P56" i="214"/>
  <c r="G54" i="214"/>
  <c r="P54" i="214"/>
  <c r="G52" i="214"/>
  <c r="G48" i="214"/>
  <c r="Q48" i="214"/>
  <c r="G106" i="214"/>
  <c r="G104" i="214"/>
  <c r="P104" i="214"/>
  <c r="G102" i="214"/>
  <c r="P102" i="214"/>
  <c r="G100" i="214"/>
  <c r="P100" i="214"/>
  <c r="G98" i="214"/>
  <c r="P98" i="214"/>
  <c r="G96" i="214"/>
  <c r="P96" i="214"/>
  <c r="G94" i="214"/>
  <c r="P94" i="214"/>
  <c r="G92" i="214"/>
  <c r="P92" i="214"/>
  <c r="G84" i="214"/>
  <c r="P84" i="214"/>
  <c r="G82" i="214"/>
  <c r="P82" i="214"/>
  <c r="G80" i="214"/>
  <c r="P80" i="214"/>
  <c r="G78" i="214"/>
  <c r="G76" i="214"/>
  <c r="P76" i="214"/>
  <c r="G74" i="214"/>
  <c r="P74" i="214"/>
  <c r="G107" i="214"/>
  <c r="P107" i="214"/>
  <c r="G105" i="214"/>
  <c r="P105" i="214"/>
  <c r="G101" i="214"/>
  <c r="G97" i="214"/>
  <c r="G93" i="214"/>
  <c r="Q93" i="214"/>
  <c r="G83" i="214"/>
  <c r="Q83" i="214"/>
  <c r="G79" i="214"/>
  <c r="P79" i="214"/>
  <c r="G73" i="214"/>
  <c r="Q73" i="214"/>
  <c r="G71" i="214"/>
  <c r="Q71" i="214"/>
  <c r="P71" i="214"/>
  <c r="P73" i="214"/>
  <c r="P101" i="214"/>
  <c r="O2" i="188"/>
  <c r="P97" i="214"/>
  <c r="P78" i="214"/>
  <c r="P60" i="214"/>
  <c r="P106" i="214"/>
  <c r="N63" i="214"/>
  <c r="N51" i="214"/>
  <c r="N55" i="214"/>
  <c r="N59" i="214"/>
  <c r="N62" i="214"/>
  <c r="Q79" i="214"/>
  <c r="Q107" i="214"/>
  <c r="Q105" i="214"/>
  <c r="N57" i="214"/>
  <c r="N53" i="214"/>
  <c r="Q53" i="214"/>
  <c r="P50" i="214"/>
  <c r="P83" i="214"/>
  <c r="P48" i="214"/>
  <c r="G75" i="214"/>
  <c r="G81" i="214"/>
  <c r="G70" i="214"/>
  <c r="G95" i="214"/>
  <c r="P95" i="214"/>
  <c r="G99" i="214"/>
  <c r="P99" i="214"/>
  <c r="G103" i="214"/>
  <c r="P103" i="214"/>
  <c r="G72" i="214"/>
  <c r="P72" i="214"/>
  <c r="N77" i="214"/>
  <c r="P52" i="214"/>
  <c r="G91" i="214"/>
  <c r="P91" i="214"/>
  <c r="N49" i="214"/>
  <c r="P62" i="214"/>
  <c r="Q60" i="214"/>
  <c r="Q56" i="214"/>
  <c r="Q52" i="214"/>
  <c r="Q50" i="214"/>
  <c r="Q80" i="214"/>
  <c r="Q82" i="214"/>
  <c r="Q78" i="214"/>
  <c r="Q76" i="214"/>
  <c r="Q74" i="214"/>
  <c r="Q92" i="214"/>
  <c r="Q102" i="214"/>
  <c r="Q104" i="214"/>
  <c r="Q106" i="214"/>
  <c r="Q84" i="214"/>
  <c r="P61" i="214"/>
  <c r="Q61" i="214"/>
  <c r="Q77" i="214"/>
  <c r="P77" i="214"/>
  <c r="Q58" i="214"/>
  <c r="P58" i="214"/>
  <c r="Q62" i="214"/>
  <c r="Q57" i="214"/>
  <c r="Q70" i="214"/>
  <c r="Q54" i="214"/>
  <c r="Q94" i="214"/>
  <c r="Q96" i="214"/>
  <c r="Q98" i="214"/>
  <c r="Q100" i="214"/>
  <c r="Q59" i="214"/>
  <c r="Q51" i="214"/>
  <c r="Q63" i="214"/>
  <c r="P70" i="214"/>
  <c r="P93" i="214"/>
  <c r="Q101" i="214"/>
  <c r="F22" i="234"/>
  <c r="Q97" i="214"/>
  <c r="Q99" i="214"/>
  <c r="Q47" i="214"/>
  <c r="P47" i="214"/>
  <c r="P55" i="214"/>
  <c r="Q55" i="214"/>
  <c r="P49" i="214"/>
  <c r="Q49" i="214"/>
  <c r="G22" i="234"/>
  <c r="C22" i="234"/>
  <c r="Q81" i="214"/>
  <c r="P81" i="214"/>
  <c r="Q103" i="214"/>
  <c r="Q95" i="214"/>
  <c r="Q75" i="214"/>
  <c r="P75" i="214"/>
  <c r="Q72" i="214"/>
  <c r="Q91" i="214"/>
  <c r="Q109" i="214" s="1"/>
  <c r="G48" i="307"/>
  <c r="F16" i="310" s="1"/>
  <c r="I2" i="188"/>
  <c r="E22" i="234"/>
  <c r="M22" i="234"/>
  <c r="AY53" i="308" l="1"/>
  <c r="AY52" i="308"/>
  <c r="AY51" i="308"/>
  <c r="AY50" i="308"/>
  <c r="AY49" i="308"/>
  <c r="AY48" i="308"/>
  <c r="AY47" i="308"/>
  <c r="AY46" i="308"/>
  <c r="AY45" i="308"/>
  <c r="AY44" i="308"/>
  <c r="AY40" i="308"/>
  <c r="AY39" i="308"/>
  <c r="AY38" i="308"/>
  <c r="AY37" i="308"/>
  <c r="AY36" i="308"/>
  <c r="AY35" i="308"/>
  <c r="AY34" i="308"/>
  <c r="AY33" i="308"/>
  <c r="AY32" i="308"/>
  <c r="AY31" i="308"/>
  <c r="AX53" i="308"/>
  <c r="AX52" i="308"/>
  <c r="AX51" i="308"/>
  <c r="AX50" i="308"/>
  <c r="AX49" i="308"/>
  <c r="AX48" i="308"/>
  <c r="AX47" i="308"/>
  <c r="AX46" i="308"/>
  <c r="AX45" i="308"/>
  <c r="AX44" i="308"/>
  <c r="AX40" i="308"/>
  <c r="AX39" i="308"/>
  <c r="AX38" i="308"/>
  <c r="AX37" i="308"/>
  <c r="AX36" i="308"/>
  <c r="AX35" i="308"/>
  <c r="AX34" i="308"/>
  <c r="AX33" i="308"/>
  <c r="AX32" i="308"/>
  <c r="AX31" i="308"/>
  <c r="AW53" i="308"/>
  <c r="AW52" i="308"/>
  <c r="AW51" i="308"/>
  <c r="AW50" i="308"/>
  <c r="AW49" i="308"/>
  <c r="AW48" i="308"/>
  <c r="AW47" i="308"/>
  <c r="AW46" i="308"/>
  <c r="AW45" i="308"/>
  <c r="AW44" i="308"/>
  <c r="AW40" i="308"/>
  <c r="AW39" i="308"/>
  <c r="AW38" i="308"/>
  <c r="AW37" i="308"/>
  <c r="AW36" i="308"/>
  <c r="AW35" i="308"/>
  <c r="AW34" i="308"/>
  <c r="AW33" i="308"/>
  <c r="AW32" i="308"/>
  <c r="AW31" i="308"/>
  <c r="AV53" i="308"/>
  <c r="AV52" i="308"/>
  <c r="AV51" i="308"/>
  <c r="AV50" i="308"/>
  <c r="AV49" i="308"/>
  <c r="AV48" i="308"/>
  <c r="AV47" i="308"/>
  <c r="AV46" i="308"/>
  <c r="AV45" i="308"/>
  <c r="AV44" i="308"/>
  <c r="AV40" i="308"/>
  <c r="AV39" i="308"/>
  <c r="AV38" i="308"/>
  <c r="AV37" i="308"/>
  <c r="AV36" i="308"/>
  <c r="AV35" i="308"/>
  <c r="AV34" i="308"/>
  <c r="AV33" i="308"/>
  <c r="AV32" i="308"/>
  <c r="AV31" i="308"/>
  <c r="AU53" i="308"/>
  <c r="AU52" i="308"/>
  <c r="AU51" i="308"/>
  <c r="AU50" i="308"/>
  <c r="AU49" i="308"/>
  <c r="AU48" i="308"/>
  <c r="AU47" i="308"/>
  <c r="AU46" i="308"/>
  <c r="AU45" i="308"/>
  <c r="AU44" i="308"/>
  <c r="AU40" i="308"/>
  <c r="AU39" i="308"/>
  <c r="AU38" i="308"/>
  <c r="AU37" i="308"/>
  <c r="AU36" i="308"/>
  <c r="AU35" i="308"/>
  <c r="AU34" i="308"/>
  <c r="AU33" i="308"/>
  <c r="AU32" i="308"/>
  <c r="AU31" i="308"/>
  <c r="AT53" i="308"/>
  <c r="AT52" i="308"/>
  <c r="AT51" i="308"/>
  <c r="AT50" i="308"/>
  <c r="AT49" i="308"/>
  <c r="AT48" i="308"/>
  <c r="AT47" i="308"/>
  <c r="AT46" i="308"/>
  <c r="AT45" i="308"/>
  <c r="AT44" i="308"/>
  <c r="AT40" i="308"/>
  <c r="AT39" i="308"/>
  <c r="AT38" i="308"/>
  <c r="AT37" i="308"/>
  <c r="AT36" i="308"/>
  <c r="AT35" i="308"/>
  <c r="AT34" i="308"/>
  <c r="AT33" i="308"/>
  <c r="AT32" i="308"/>
  <c r="AT31" i="308"/>
  <c r="AS53" i="308"/>
  <c r="AS52" i="308"/>
  <c r="AS51" i="308"/>
  <c r="AS50" i="308"/>
  <c r="AS49" i="308"/>
  <c r="AS48" i="308"/>
  <c r="AS47" i="308"/>
  <c r="AS46" i="308"/>
  <c r="AS45" i="308"/>
  <c r="AS44" i="308"/>
  <c r="AS40" i="308"/>
  <c r="AS39" i="308"/>
  <c r="AS38" i="308"/>
  <c r="AS37" i="308"/>
  <c r="AS36" i="308"/>
  <c r="AS35" i="308"/>
  <c r="AS34" i="308"/>
  <c r="AS33" i="308"/>
  <c r="AS32" i="308"/>
  <c r="AS31" i="308"/>
  <c r="AR53" i="308"/>
  <c r="AR52" i="308"/>
  <c r="AR51" i="308"/>
  <c r="AR50" i="308"/>
  <c r="AR49" i="308"/>
  <c r="AR48" i="308"/>
  <c r="AR47" i="308"/>
  <c r="AR46" i="308"/>
  <c r="AR45" i="308"/>
  <c r="AR44" i="308"/>
  <c r="AR40" i="308"/>
  <c r="AR39" i="308"/>
  <c r="AR38" i="308"/>
  <c r="AR37" i="308"/>
  <c r="AR36" i="308"/>
  <c r="AR35" i="308"/>
  <c r="AR34" i="308"/>
  <c r="AR33" i="308"/>
  <c r="AR32" i="308"/>
  <c r="AR31" i="308"/>
  <c r="AQ53" i="308"/>
  <c r="AQ52" i="308"/>
  <c r="AQ51" i="308"/>
  <c r="AQ50" i="308"/>
  <c r="AQ49" i="308"/>
  <c r="AQ48" i="308"/>
  <c r="AQ47" i="308"/>
  <c r="AQ46" i="308"/>
  <c r="AQ45" i="308"/>
  <c r="AQ44" i="308"/>
  <c r="AQ40" i="308"/>
  <c r="AQ39" i="308"/>
  <c r="AQ38" i="308"/>
  <c r="AQ37" i="308"/>
  <c r="AQ36" i="308"/>
  <c r="AQ35" i="308"/>
  <c r="AQ34" i="308"/>
  <c r="AQ33" i="308"/>
  <c r="AQ32" i="308"/>
  <c r="AQ31" i="308"/>
  <c r="AP53" i="308"/>
  <c r="AP52" i="308"/>
  <c r="AP51" i="308"/>
  <c r="AP50" i="308"/>
  <c r="AP49" i="308"/>
  <c r="AP48" i="308"/>
  <c r="AP47" i="308"/>
  <c r="AP46" i="308"/>
  <c r="AP45" i="308"/>
  <c r="AP44" i="308"/>
  <c r="AP40" i="308"/>
  <c r="AP39" i="308"/>
  <c r="AP38" i="308"/>
  <c r="AP37" i="308"/>
  <c r="AP36" i="308"/>
  <c r="AP35" i="308"/>
  <c r="AP34" i="308"/>
  <c r="AP33" i="308"/>
  <c r="AP32" i="308"/>
  <c r="AP31" i="308"/>
  <c r="AO53" i="308"/>
  <c r="AO52" i="308"/>
  <c r="AO51" i="308"/>
  <c r="AO50" i="308"/>
  <c r="AO49" i="308"/>
  <c r="AO48" i="308"/>
  <c r="AO47" i="308"/>
  <c r="AO46" i="308"/>
  <c r="AO45" i="308"/>
  <c r="AO44" i="308"/>
  <c r="AO40" i="308"/>
  <c r="AO39" i="308"/>
  <c r="AO38" i="308"/>
  <c r="AO37" i="308"/>
  <c r="AO36" i="308"/>
  <c r="AO35" i="308"/>
  <c r="AO34" i="308"/>
  <c r="AO33" i="308"/>
  <c r="AO32" i="308"/>
  <c r="AO31" i="308"/>
  <c r="AN53" i="308"/>
  <c r="AN52" i="308"/>
  <c r="AN51" i="308"/>
  <c r="AN50" i="308"/>
  <c r="AN49" i="308"/>
  <c r="AN48" i="308"/>
  <c r="AN47" i="308"/>
  <c r="AN46" i="308"/>
  <c r="AN45" i="308"/>
  <c r="AN44" i="308"/>
  <c r="AN40" i="308"/>
  <c r="AN39" i="308"/>
  <c r="AN38" i="308"/>
  <c r="AN37" i="308"/>
  <c r="AN36" i="308"/>
  <c r="AN35" i="308"/>
  <c r="AN34" i="308"/>
  <c r="AN33" i="308"/>
  <c r="AN32" i="308"/>
  <c r="AN31" i="308"/>
  <c r="AM53" i="308"/>
  <c r="AM52" i="308"/>
  <c r="AM51" i="308"/>
  <c r="AM50" i="308"/>
  <c r="AM49" i="308"/>
  <c r="AM48" i="308"/>
  <c r="AM47" i="308"/>
  <c r="AM46" i="308"/>
  <c r="AM45" i="308"/>
  <c r="AM44" i="308"/>
  <c r="AM40" i="308"/>
  <c r="AM39" i="308"/>
  <c r="AM38" i="308"/>
  <c r="AM37" i="308"/>
  <c r="AM36" i="308"/>
  <c r="AM35" i="308"/>
  <c r="AM34" i="308"/>
  <c r="AM33" i="308"/>
  <c r="AM32" i="308"/>
  <c r="AM31" i="308"/>
  <c r="AL53" i="308"/>
  <c r="AL52" i="308"/>
  <c r="AL51" i="308"/>
  <c r="AL50" i="308"/>
  <c r="AL49" i="308"/>
  <c r="AL48" i="308"/>
  <c r="AL47" i="308"/>
  <c r="AL46" i="308"/>
  <c r="AL45" i="308"/>
  <c r="AL44" i="308"/>
  <c r="AL40" i="308"/>
  <c r="AL39" i="308"/>
  <c r="AL38" i="308"/>
  <c r="AL37" i="308"/>
  <c r="AL36" i="308"/>
  <c r="AL35" i="308"/>
  <c r="AL34" i="308"/>
  <c r="AL33" i="308"/>
  <c r="AL32" i="308"/>
  <c r="AL31" i="308"/>
  <c r="AK53" i="308"/>
  <c r="AK52" i="308"/>
  <c r="AK51" i="308"/>
  <c r="AK50" i="308"/>
  <c r="AK49" i="308"/>
  <c r="AK48" i="308"/>
  <c r="AK47" i="308"/>
  <c r="AK46" i="308"/>
  <c r="AK45" i="308"/>
  <c r="AK44" i="308"/>
  <c r="AK40" i="308"/>
  <c r="AK39" i="308"/>
  <c r="AK38" i="308"/>
  <c r="AK37" i="308"/>
  <c r="AK36" i="308"/>
  <c r="AK35" i="308"/>
  <c r="AK34" i="308"/>
  <c r="AK33" i="308"/>
  <c r="AK32" i="308"/>
  <c r="AK31" i="308"/>
  <c r="AJ53" i="308"/>
  <c r="AJ52" i="308"/>
  <c r="AJ51" i="308"/>
  <c r="AJ50" i="308"/>
  <c r="AJ49" i="308"/>
  <c r="AJ48" i="308"/>
  <c r="AJ47" i="308"/>
  <c r="AJ46" i="308"/>
  <c r="AJ45" i="308"/>
  <c r="AJ44" i="308"/>
  <c r="AJ40" i="308"/>
  <c r="AJ39" i="308"/>
  <c r="AJ38" i="308"/>
  <c r="AJ37" i="308"/>
  <c r="AJ36" i="308"/>
  <c r="AJ35" i="308"/>
  <c r="AJ34" i="308"/>
  <c r="AJ33" i="308"/>
  <c r="AJ32" i="308"/>
  <c r="AJ31" i="308"/>
  <c r="AI53" i="308"/>
  <c r="AI52" i="308"/>
  <c r="AI51" i="308"/>
  <c r="AI50" i="308"/>
  <c r="AI49" i="308"/>
  <c r="AI48" i="308"/>
  <c r="AI47" i="308"/>
  <c r="AI46" i="308"/>
  <c r="AI45" i="308"/>
  <c r="AI44" i="308"/>
  <c r="AI40" i="308"/>
  <c r="AI39" i="308"/>
  <c r="AI38" i="308"/>
  <c r="AI37" i="308"/>
  <c r="AI36" i="308"/>
  <c r="AI35" i="308"/>
  <c r="AI34" i="308"/>
  <c r="AI33" i="308"/>
  <c r="AI32" i="308"/>
  <c r="AI31" i="308"/>
  <c r="AH53" i="308"/>
  <c r="AH52" i="308"/>
  <c r="AH51" i="308"/>
  <c r="AH50" i="308"/>
  <c r="AH49" i="308"/>
  <c r="AH48" i="308"/>
  <c r="AH47" i="308"/>
  <c r="AH46" i="308"/>
  <c r="AH45" i="308"/>
  <c r="AH44" i="308"/>
  <c r="AH40" i="308"/>
  <c r="AH39" i="308"/>
  <c r="AH38" i="308"/>
  <c r="AH37" i="308"/>
  <c r="AH36" i="308"/>
  <c r="AH35" i="308"/>
  <c r="AH34" i="308"/>
  <c r="AH33" i="308"/>
  <c r="AH32" i="308"/>
  <c r="AH31" i="308"/>
  <c r="AG53" i="308"/>
  <c r="AG52" i="308"/>
  <c r="AG51" i="308"/>
  <c r="AG50" i="308"/>
  <c r="AG49" i="308"/>
  <c r="AG48" i="308"/>
  <c r="AG47" i="308"/>
  <c r="AG46" i="308"/>
  <c r="AG45" i="308"/>
  <c r="AG44" i="308"/>
  <c r="AG40" i="308"/>
  <c r="AG39" i="308"/>
  <c r="AG38" i="308"/>
  <c r="AG37" i="308"/>
  <c r="AG36" i="308"/>
  <c r="AG35" i="308"/>
  <c r="AG34" i="308"/>
  <c r="AG33" i="308"/>
  <c r="AG32" i="308"/>
  <c r="AG31" i="308"/>
  <c r="AF53" i="308"/>
  <c r="AF52" i="308"/>
  <c r="AF51" i="308"/>
  <c r="AF50" i="308"/>
  <c r="AF49" i="308"/>
  <c r="AF48" i="308"/>
  <c r="AF47" i="308"/>
  <c r="AF46" i="308"/>
  <c r="AF45" i="308"/>
  <c r="AF44" i="308"/>
  <c r="AF40" i="308"/>
  <c r="AF39" i="308"/>
  <c r="AF38" i="308"/>
  <c r="AF37" i="308"/>
  <c r="AF36" i="308"/>
  <c r="AF35" i="308"/>
  <c r="AF34" i="308"/>
  <c r="AF33" i="308"/>
  <c r="AF32" i="308"/>
  <c r="AF31" i="308"/>
  <c r="AE53" i="308"/>
  <c r="AE52" i="308"/>
  <c r="AE51" i="308"/>
  <c r="AE50" i="308"/>
  <c r="AE49" i="308"/>
  <c r="AE48" i="308"/>
  <c r="AE47" i="308"/>
  <c r="AE46" i="308"/>
  <c r="AE45" i="308"/>
  <c r="AE44" i="308"/>
  <c r="AE40" i="308"/>
  <c r="AE39" i="308"/>
  <c r="AE38" i="308"/>
  <c r="AE37" i="308"/>
  <c r="AE36" i="308"/>
  <c r="AE35" i="308"/>
  <c r="AE34" i="308"/>
  <c r="AE33" i="308"/>
  <c r="AE32" i="308"/>
  <c r="AE31" i="308"/>
  <c r="AD53" i="308"/>
  <c r="AD52" i="308"/>
  <c r="AD51" i="308"/>
  <c r="AD50" i="308"/>
  <c r="AD49" i="308"/>
  <c r="AD48" i="308"/>
  <c r="AD47" i="308"/>
  <c r="AD46" i="308"/>
  <c r="AD45" i="308"/>
  <c r="AD44" i="308"/>
  <c r="AD40" i="308"/>
  <c r="AD39" i="308"/>
  <c r="AD38" i="308"/>
  <c r="AD37" i="308"/>
  <c r="AD36" i="308"/>
  <c r="AD35" i="308"/>
  <c r="AD34" i="308"/>
  <c r="AD33" i="308"/>
  <c r="AD32" i="308"/>
  <c r="AD31" i="308"/>
  <c r="AC53" i="308"/>
  <c r="AC52" i="308"/>
  <c r="AC51" i="308"/>
  <c r="AC50" i="308"/>
  <c r="AC49" i="308"/>
  <c r="AC48" i="308"/>
  <c r="AC47" i="308"/>
  <c r="AC46" i="308"/>
  <c r="AC45" i="308"/>
  <c r="AC44" i="308"/>
  <c r="AC40" i="308"/>
  <c r="AC39" i="308"/>
  <c r="AC38" i="308"/>
  <c r="AC37" i="308"/>
  <c r="AC36" i="308"/>
  <c r="AC35" i="308"/>
  <c r="AC34" i="308"/>
  <c r="AC33" i="308"/>
  <c r="AC32" i="308"/>
  <c r="AC31" i="308"/>
  <c r="AB53" i="308"/>
  <c r="AB52" i="308"/>
  <c r="AB51" i="308"/>
  <c r="AB50" i="308"/>
  <c r="AB49" i="308"/>
  <c r="AB48" i="308"/>
  <c r="AB47" i="308"/>
  <c r="AB46" i="308"/>
  <c r="AB45" i="308"/>
  <c r="AB44" i="308"/>
  <c r="AB40" i="308"/>
  <c r="AB39" i="308"/>
  <c r="AB38" i="308"/>
  <c r="AB37" i="308"/>
  <c r="AB36" i="308"/>
  <c r="AB35" i="308"/>
  <c r="AB34" i="308"/>
  <c r="AB33" i="308"/>
  <c r="AB32" i="308"/>
  <c r="AB31" i="308"/>
  <c r="AA53" i="308"/>
  <c r="AA52" i="308"/>
  <c r="AA51" i="308"/>
  <c r="AA50" i="308"/>
  <c r="AA49" i="308"/>
  <c r="AA48" i="308"/>
  <c r="AA47" i="308"/>
  <c r="AA46" i="308"/>
  <c r="AA45" i="308"/>
  <c r="AA44" i="308"/>
  <c r="AA40" i="308"/>
  <c r="AA39" i="308"/>
  <c r="AA38" i="308"/>
  <c r="AA37" i="308"/>
  <c r="AA36" i="308"/>
  <c r="AA35" i="308"/>
  <c r="AA34" i="308"/>
  <c r="AA33" i="308"/>
  <c r="AA32" i="308"/>
  <c r="AA31" i="308"/>
  <c r="Z53" i="308"/>
  <c r="Z52" i="308"/>
  <c r="Z51" i="308"/>
  <c r="Z50" i="308"/>
  <c r="Z49" i="308"/>
  <c r="Z48" i="308"/>
  <c r="Z47" i="308"/>
  <c r="Z46" i="308"/>
  <c r="Z45" i="308"/>
  <c r="Z44" i="308"/>
  <c r="Z40" i="308"/>
  <c r="Z39" i="308"/>
  <c r="Z38" i="308"/>
  <c r="Z37" i="308"/>
  <c r="Z36" i="308"/>
  <c r="Z35" i="308"/>
  <c r="Z34" i="308"/>
  <c r="Z33" i="308"/>
  <c r="Z32" i="308"/>
  <c r="Z31" i="308"/>
  <c r="Y53" i="308"/>
  <c r="Y52" i="308"/>
  <c r="Y51" i="308"/>
  <c r="Y50" i="308"/>
  <c r="Y49" i="308"/>
  <c r="Y48" i="308"/>
  <c r="Y47" i="308"/>
  <c r="Y46" i="308"/>
  <c r="Y45" i="308"/>
  <c r="Y44" i="308"/>
  <c r="Y40" i="308"/>
  <c r="Y39" i="308"/>
  <c r="Y38" i="308"/>
  <c r="Y37" i="308"/>
  <c r="Y36" i="308"/>
  <c r="Y35" i="308"/>
  <c r="Y34" i="308"/>
  <c r="Y33" i="308"/>
  <c r="Y32" i="308"/>
  <c r="Y31" i="308"/>
  <c r="X53" i="308"/>
  <c r="X52" i="308"/>
  <c r="X51" i="308"/>
  <c r="X50" i="308"/>
  <c r="X49" i="308"/>
  <c r="X48" i="308"/>
  <c r="X47" i="308"/>
  <c r="X46" i="308"/>
  <c r="X45" i="308"/>
  <c r="X44" i="308"/>
  <c r="X40" i="308"/>
  <c r="X39" i="308"/>
  <c r="X38" i="308"/>
  <c r="X37" i="308"/>
  <c r="X36" i="308"/>
  <c r="X35" i="308"/>
  <c r="X34" i="308"/>
  <c r="X33" i="308"/>
  <c r="X32" i="308"/>
  <c r="X31" i="308"/>
  <c r="W48" i="308"/>
  <c r="W53" i="308"/>
  <c r="W52" i="308"/>
  <c r="W51" i="308"/>
  <c r="W50" i="308"/>
  <c r="W49" i="308"/>
  <c r="W47" i="308"/>
  <c r="W46" i="308"/>
  <c r="W45" i="308"/>
  <c r="W44" i="308"/>
  <c r="W40" i="308"/>
  <c r="W39" i="308"/>
  <c r="W38" i="308"/>
  <c r="W37" i="308"/>
  <c r="W36" i="308"/>
  <c r="W35" i="308"/>
  <c r="W34" i="308"/>
  <c r="W33" i="308"/>
  <c r="W32" i="308"/>
  <c r="W31" i="308"/>
  <c r="V53" i="308"/>
  <c r="V52" i="308"/>
  <c r="V51" i="308"/>
  <c r="V50" i="308"/>
  <c r="V49" i="308"/>
  <c r="V48" i="308"/>
  <c r="V47" i="308"/>
  <c r="V46" i="308"/>
  <c r="V45" i="308"/>
  <c r="V44" i="308"/>
  <c r="V40" i="308"/>
  <c r="V39" i="308"/>
  <c r="V38" i="308"/>
  <c r="V37" i="308"/>
  <c r="V36" i="308"/>
  <c r="V35" i="308"/>
  <c r="V34" i="308"/>
  <c r="V33" i="308"/>
  <c r="V32" i="308"/>
  <c r="V31" i="308"/>
  <c r="U36" i="308"/>
  <c r="U35" i="308"/>
  <c r="U34" i="308"/>
  <c r="U33" i="308"/>
  <c r="U32" i="308"/>
  <c r="U31" i="308"/>
  <c r="U40" i="308"/>
  <c r="U39" i="308"/>
  <c r="U38" i="308"/>
  <c r="U44" i="308"/>
  <c r="U53" i="308"/>
  <c r="U52" i="308"/>
  <c r="U51" i="308"/>
  <c r="U50" i="308"/>
  <c r="U49" i="308"/>
  <c r="U48" i="308"/>
  <c r="U47" i="308"/>
  <c r="U46" i="308"/>
  <c r="U45" i="308"/>
  <c r="U37" i="308"/>
  <c r="U68" i="308"/>
  <c r="U64" i="308"/>
  <c r="H132" i="214"/>
  <c r="G57" i="307"/>
  <c r="F37" i="310" s="1"/>
  <c r="Q133" i="214"/>
  <c r="Q65" i="214"/>
  <c r="Q86" i="214"/>
  <c r="Q41" i="214"/>
  <c r="G55" i="307"/>
  <c r="G56" i="307"/>
  <c r="F29" i="310" s="1"/>
  <c r="F25" i="310"/>
  <c r="AQ6" i="310"/>
  <c r="AT83" i="307"/>
  <c r="AQ10" i="310" s="1"/>
  <c r="AP6" i="310"/>
  <c r="AS83" i="307"/>
  <c r="AP10" i="310" s="1"/>
  <c r="AO6" i="310"/>
  <c r="AR83" i="307"/>
  <c r="AO10" i="310" s="1"/>
  <c r="AN6" i="310"/>
  <c r="AQ83" i="307"/>
  <c r="AN10" i="310" s="1"/>
  <c r="AM6" i="310"/>
  <c r="AP83" i="307"/>
  <c r="AM10" i="310" s="1"/>
  <c r="AL6" i="310"/>
  <c r="AO83" i="307"/>
  <c r="AL10" i="310" s="1"/>
  <c r="AK6" i="310"/>
  <c r="AN83" i="307"/>
  <c r="AK10" i="310" s="1"/>
  <c r="AJ6" i="310"/>
  <c r="AM83" i="307"/>
  <c r="AJ10" i="310" s="1"/>
  <c r="AI6" i="310"/>
  <c r="AL83" i="307"/>
  <c r="AI10" i="310" s="1"/>
  <c r="AH6" i="310"/>
  <c r="AK83" i="307"/>
  <c r="AH10" i="310" s="1"/>
  <c r="AG6" i="310"/>
  <c r="AJ83" i="307"/>
  <c r="AG10" i="310" s="1"/>
  <c r="AF6" i="310"/>
  <c r="AI83" i="307"/>
  <c r="AF10" i="310" s="1"/>
  <c r="AE6" i="310"/>
  <c r="AH83" i="307"/>
  <c r="AE10" i="310" s="1"/>
  <c r="AD6" i="310"/>
  <c r="AG83" i="307"/>
  <c r="AD10" i="310" s="1"/>
  <c r="AC6" i="310"/>
  <c r="AF83" i="307"/>
  <c r="AC10" i="310" s="1"/>
  <c r="AB6" i="310"/>
  <c r="AE83" i="307"/>
  <c r="AB10" i="310" s="1"/>
  <c r="AA6" i="310"/>
  <c r="AD83" i="307"/>
  <c r="AA10" i="310" s="1"/>
  <c r="Z6" i="310"/>
  <c r="AC83" i="307"/>
  <c r="Z10" i="310" s="1"/>
  <c r="Y6" i="310"/>
  <c r="AB83" i="307"/>
  <c r="Y10" i="310" s="1"/>
  <c r="X6" i="310"/>
  <c r="AA83" i="307"/>
  <c r="X10" i="310" s="1"/>
  <c r="W6" i="310"/>
  <c r="Z83" i="307"/>
  <c r="W10" i="310" s="1"/>
  <c r="V6" i="310"/>
  <c r="Y83" i="307"/>
  <c r="V10" i="310" s="1"/>
  <c r="U6" i="310"/>
  <c r="X83" i="307"/>
  <c r="U10" i="310" s="1"/>
  <c r="T6" i="310"/>
  <c r="W83" i="307"/>
  <c r="T10" i="310" s="1"/>
  <c r="S6" i="310"/>
  <c r="V83" i="307"/>
  <c r="S10" i="310" s="1"/>
  <c r="R6" i="310"/>
  <c r="U83" i="307"/>
  <c r="R10" i="310" s="1"/>
  <c r="Q6" i="310"/>
  <c r="T83" i="307"/>
  <c r="Q10" i="310" s="1"/>
  <c r="P6" i="310"/>
  <c r="S83" i="307"/>
  <c r="P10" i="310" s="1"/>
  <c r="O6" i="310"/>
  <c r="R83" i="307"/>
  <c r="O10" i="310" s="1"/>
  <c r="N6" i="310"/>
  <c r="Q83" i="307"/>
  <c r="N10" i="310" s="1"/>
  <c r="M64" i="310"/>
  <c r="M65" i="310"/>
  <c r="M72" i="310"/>
  <c r="M79" i="310"/>
  <c r="M92" i="310"/>
  <c r="M97" i="310"/>
  <c r="M100" i="310"/>
  <c r="M103" i="310"/>
  <c r="AQ94" i="310"/>
  <c r="AP50" i="310"/>
  <c r="AP94" i="310"/>
  <c r="AP110" i="310"/>
  <c r="AO50" i="310"/>
  <c r="AO94" i="310"/>
  <c r="AO110" i="310"/>
  <c r="AN50" i="310"/>
  <c r="AN94" i="310"/>
  <c r="AN110" i="310"/>
  <c r="AM50" i="310"/>
  <c r="AM94" i="310"/>
  <c r="AM110" i="310"/>
  <c r="AL50" i="310"/>
  <c r="AL94" i="310"/>
  <c r="AL110" i="310"/>
  <c r="AK50" i="310"/>
  <c r="AK94" i="310"/>
  <c r="AK110" i="310"/>
  <c r="AJ50" i="310"/>
  <c r="AJ94" i="310"/>
  <c r="AJ110" i="310"/>
  <c r="AI50" i="310"/>
  <c r="AI94" i="310"/>
  <c r="AI110" i="310"/>
  <c r="AH50" i="310"/>
  <c r="AH94" i="310"/>
  <c r="AH110" i="310"/>
  <c r="AG50" i="310"/>
  <c r="AG94" i="310"/>
  <c r="AG110" i="310"/>
  <c r="AF50" i="310"/>
  <c r="AF94" i="310"/>
  <c r="AF110" i="310"/>
  <c r="AE50" i="310"/>
  <c r="AE94" i="310"/>
  <c r="AE110" i="310"/>
  <c r="AD50" i="310"/>
  <c r="AD94" i="310"/>
  <c r="AD110" i="310"/>
  <c r="AC50" i="310"/>
  <c r="AC94" i="310"/>
  <c r="AC110" i="310"/>
  <c r="AB50" i="310"/>
  <c r="AB94" i="310"/>
  <c r="AB110" i="310"/>
  <c r="AA50" i="310"/>
  <c r="AA54" i="310"/>
  <c r="AA94" i="310"/>
  <c r="AA110" i="310"/>
  <c r="Z50" i="310"/>
  <c r="Z54" i="310"/>
  <c r="Z94" i="310"/>
  <c r="Z110" i="310"/>
  <c r="Y50" i="310"/>
  <c r="Y54" i="310"/>
  <c r="Y94" i="310"/>
  <c r="Y110" i="310"/>
  <c r="X50" i="310"/>
  <c r="X54" i="310"/>
  <c r="X94" i="310"/>
  <c r="X110" i="310"/>
  <c r="W50" i="310"/>
  <c r="W54" i="310"/>
  <c r="W94" i="310"/>
  <c r="W110" i="310"/>
  <c r="V50" i="310"/>
  <c r="V54" i="310"/>
  <c r="V94" i="310"/>
  <c r="V110" i="310"/>
  <c r="U50" i="310"/>
  <c r="U54" i="310"/>
  <c r="U94" i="310"/>
  <c r="U110" i="310"/>
  <c r="T50" i="310"/>
  <c r="T54" i="310"/>
  <c r="T94" i="310"/>
  <c r="T110" i="310"/>
  <c r="S50" i="310"/>
  <c r="S54" i="310"/>
  <c r="S94" i="310"/>
  <c r="S110" i="310"/>
  <c r="R50" i="310"/>
  <c r="R54" i="310"/>
  <c r="R94" i="310"/>
  <c r="R110" i="310"/>
  <c r="Q50" i="310"/>
  <c r="Q54" i="310"/>
  <c r="Q94" i="310"/>
  <c r="Q110" i="310"/>
  <c r="P50" i="310"/>
  <c r="P54" i="310"/>
  <c r="P94" i="310"/>
  <c r="P110" i="310"/>
  <c r="O50" i="310"/>
  <c r="O54" i="310"/>
  <c r="O94" i="310"/>
  <c r="O110" i="310"/>
  <c r="N50" i="310"/>
  <c r="N54" i="310"/>
  <c r="N94" i="310"/>
  <c r="N110" i="310"/>
  <c r="M21" i="310"/>
  <c r="N82" i="308"/>
  <c r="M17" i="310"/>
  <c r="N80" i="308"/>
  <c r="M13" i="310"/>
  <c r="N79" i="308"/>
  <c r="M28" i="310"/>
  <c r="M30" i="310" s="1"/>
  <c r="M24" i="310"/>
  <c r="M26" i="310" s="1"/>
  <c r="W64" i="308" l="1"/>
  <c r="X64" i="308"/>
  <c r="Y64" i="308"/>
  <c r="M32" i="310"/>
  <c r="U65" i="308"/>
  <c r="M89" i="310" s="1"/>
  <c r="N92" i="310" s="1"/>
  <c r="M36" i="310"/>
  <c r="U69" i="308"/>
  <c r="M99" i="310" s="1"/>
  <c r="N100" i="310" s="1"/>
  <c r="V64" i="308"/>
  <c r="V68" i="308"/>
  <c r="W68" i="308"/>
  <c r="X68" i="308"/>
  <c r="Y68" i="308"/>
  <c r="Z64" i="308"/>
  <c r="Z68" i="308"/>
  <c r="AA64" i="308"/>
  <c r="AA68" i="308"/>
  <c r="AB64" i="308"/>
  <c r="AB68" i="308"/>
  <c r="AC64" i="308"/>
  <c r="AC68" i="308"/>
  <c r="AD64" i="308"/>
  <c r="AD68" i="308"/>
  <c r="AE64" i="308"/>
  <c r="AE68" i="308"/>
  <c r="AF64" i="308"/>
  <c r="AF68" i="308"/>
  <c r="AG64" i="308"/>
  <c r="AG68" i="308"/>
  <c r="AH64" i="308"/>
  <c r="AH68" i="308"/>
  <c r="AI64" i="308"/>
  <c r="AI68" i="308"/>
  <c r="AJ64" i="308"/>
  <c r="AJ68" i="308"/>
  <c r="AK64" i="308"/>
  <c r="AK68" i="308"/>
  <c r="AL64" i="308"/>
  <c r="AL68" i="308"/>
  <c r="AM64" i="308"/>
  <c r="AM68" i="308"/>
  <c r="AN64" i="308"/>
  <c r="AN68" i="308"/>
  <c r="AO64" i="308"/>
  <c r="AO68" i="308"/>
  <c r="AP64" i="308"/>
  <c r="AP68" i="308"/>
  <c r="AQ64" i="308"/>
  <c r="AQ68" i="308"/>
  <c r="AR64" i="308"/>
  <c r="AR68" i="308"/>
  <c r="AS64" i="308"/>
  <c r="AS68" i="308"/>
  <c r="AT64" i="308"/>
  <c r="AT68" i="308"/>
  <c r="AU64" i="308"/>
  <c r="AU68" i="308"/>
  <c r="AV64" i="308"/>
  <c r="AV68" i="308"/>
  <c r="AW64" i="308"/>
  <c r="AW68" i="308"/>
  <c r="AX64" i="308"/>
  <c r="AX68" i="308"/>
  <c r="AY64" i="308"/>
  <c r="AY68" i="308"/>
  <c r="N66" i="310"/>
  <c r="F33" i="310"/>
  <c r="F68" i="310"/>
  <c r="M69" i="310" s="1"/>
  <c r="J2" i="188"/>
  <c r="B7" i="93"/>
  <c r="Q149" i="214"/>
  <c r="G51" i="307"/>
  <c r="F20" i="310" s="1"/>
  <c r="H2" i="188"/>
  <c r="G45" i="307"/>
  <c r="F12" i="310" s="1"/>
  <c r="G2" i="188"/>
  <c r="G60" i="307"/>
  <c r="F40" i="310" s="1"/>
  <c r="F2" i="188"/>
  <c r="N18" i="310"/>
  <c r="O18" i="310"/>
  <c r="P18" i="310"/>
  <c r="Q18" i="310"/>
  <c r="R18" i="310"/>
  <c r="S18" i="310"/>
  <c r="T18" i="310"/>
  <c r="U18" i="310"/>
  <c r="V18" i="310"/>
  <c r="W18" i="310"/>
  <c r="X18" i="310"/>
  <c r="Y18" i="310"/>
  <c r="Z18" i="310"/>
  <c r="AA18" i="310"/>
  <c r="AB18" i="310"/>
  <c r="AC18" i="310"/>
  <c r="AD18" i="310"/>
  <c r="AE18" i="310"/>
  <c r="AF18" i="310"/>
  <c r="AG18" i="310"/>
  <c r="AH18" i="310"/>
  <c r="AI18" i="310"/>
  <c r="AJ18" i="310"/>
  <c r="AK18" i="310"/>
  <c r="AL18" i="310"/>
  <c r="AM18" i="310"/>
  <c r="AN18" i="310"/>
  <c r="AO18" i="310"/>
  <c r="AP18" i="310"/>
  <c r="AQ18" i="310"/>
  <c r="M18" i="310"/>
  <c r="M83" i="310"/>
  <c r="M85" i="310" s="1"/>
  <c r="N69" i="310"/>
  <c r="N72" i="310"/>
  <c r="M105" i="310"/>
  <c r="M74" i="310"/>
  <c r="L68" i="308" l="1"/>
  <c r="L64" i="308"/>
  <c r="W65" i="308"/>
  <c r="X65" i="308"/>
  <c r="AQ36" i="310"/>
  <c r="AQ38" i="310" s="1"/>
  <c r="AY85" i="308"/>
  <c r="AY87" i="308"/>
  <c r="AY93" i="308" s="1"/>
  <c r="AQ28" i="310"/>
  <c r="AQ30" i="310" s="1"/>
  <c r="AQ32" i="310"/>
  <c r="AY84" i="308"/>
  <c r="AY86" i="308"/>
  <c r="AY92" i="308" s="1"/>
  <c r="AQ24" i="310"/>
  <c r="AP36" i="310"/>
  <c r="AP38" i="310" s="1"/>
  <c r="AX85" i="308"/>
  <c r="AX87" i="308"/>
  <c r="AX93" i="308" s="1"/>
  <c r="AP28" i="310"/>
  <c r="AP30" i="310" s="1"/>
  <c r="AP32" i="310"/>
  <c r="AX84" i="308"/>
  <c r="AX86" i="308"/>
  <c r="AX92" i="308" s="1"/>
  <c r="AP24" i="310"/>
  <c r="AO36" i="310"/>
  <c r="AO38" i="310" s="1"/>
  <c r="AW85" i="308"/>
  <c r="AW87" i="308"/>
  <c r="AW93" i="308" s="1"/>
  <c r="AO28" i="310"/>
  <c r="AO30" i="310" s="1"/>
  <c r="AO32" i="310"/>
  <c r="AW84" i="308"/>
  <c r="AW86" i="308"/>
  <c r="AW92" i="308" s="1"/>
  <c r="AO24" i="310"/>
  <c r="AN36" i="310"/>
  <c r="AN38" i="310" s="1"/>
  <c r="AV85" i="308"/>
  <c r="AV87" i="308"/>
  <c r="AV93" i="308" s="1"/>
  <c r="AN28" i="310"/>
  <c r="AN30" i="310" s="1"/>
  <c r="AN32" i="310"/>
  <c r="AV84" i="308"/>
  <c r="AV86" i="308"/>
  <c r="AV92" i="308" s="1"/>
  <c r="AN24" i="310"/>
  <c r="AM36" i="310"/>
  <c r="AM38" i="310" s="1"/>
  <c r="AU85" i="308"/>
  <c r="AU87" i="308"/>
  <c r="AU93" i="308" s="1"/>
  <c r="AM28" i="310"/>
  <c r="AM30" i="310" s="1"/>
  <c r="AM32" i="310"/>
  <c r="AU84" i="308"/>
  <c r="AU86" i="308"/>
  <c r="AU92" i="308" s="1"/>
  <c r="AM24" i="310"/>
  <c r="AL36" i="310"/>
  <c r="AL38" i="310" s="1"/>
  <c r="AT85" i="308"/>
  <c r="AT87" i="308"/>
  <c r="AT93" i="308" s="1"/>
  <c r="AL28" i="310"/>
  <c r="AL30" i="310" s="1"/>
  <c r="AL32" i="310"/>
  <c r="AT84" i="308"/>
  <c r="AT86" i="308"/>
  <c r="AT92" i="308" s="1"/>
  <c r="AL24" i="310"/>
  <c r="AK36" i="310"/>
  <c r="AK38" i="310" s="1"/>
  <c r="AS85" i="308"/>
  <c r="AS87" i="308"/>
  <c r="AS93" i="308" s="1"/>
  <c r="AK28" i="310"/>
  <c r="AK30" i="310" s="1"/>
  <c r="AK32" i="310"/>
  <c r="AS84" i="308"/>
  <c r="AS86" i="308"/>
  <c r="AS92" i="308" s="1"/>
  <c r="AK24" i="310"/>
  <c r="AJ36" i="310"/>
  <c r="AJ38" i="310" s="1"/>
  <c r="AR85" i="308"/>
  <c r="AR87" i="308"/>
  <c r="AR93" i="308" s="1"/>
  <c r="AJ28" i="310"/>
  <c r="AJ30" i="310" s="1"/>
  <c r="AJ32" i="310"/>
  <c r="AR84" i="308"/>
  <c r="AR86" i="308"/>
  <c r="AR92" i="308" s="1"/>
  <c r="AJ24" i="310"/>
  <c r="AI36" i="310"/>
  <c r="AI38" i="310" s="1"/>
  <c r="AQ85" i="308"/>
  <c r="AQ87" i="308"/>
  <c r="AQ93" i="308" s="1"/>
  <c r="AI28" i="310"/>
  <c r="AI30" i="310" s="1"/>
  <c r="AI32" i="310"/>
  <c r="AQ84" i="308"/>
  <c r="AQ86" i="308"/>
  <c r="AQ92" i="308" s="1"/>
  <c r="AI24" i="310"/>
  <c r="AH36" i="310"/>
  <c r="AH38" i="310" s="1"/>
  <c r="AP85" i="308"/>
  <c r="AP87" i="308"/>
  <c r="AP93" i="308" s="1"/>
  <c r="AH28" i="310"/>
  <c r="AH30" i="310" s="1"/>
  <c r="AH32" i="310"/>
  <c r="AP84" i="308"/>
  <c r="AP86" i="308"/>
  <c r="AP92" i="308" s="1"/>
  <c r="AH24" i="310"/>
  <c r="AG36" i="310"/>
  <c r="AG38" i="310" s="1"/>
  <c r="AO85" i="308"/>
  <c r="AO87" i="308"/>
  <c r="AO93" i="308" s="1"/>
  <c r="AG28" i="310"/>
  <c r="AG30" i="310" s="1"/>
  <c r="AG32" i="310"/>
  <c r="AO84" i="308"/>
  <c r="AO86" i="308"/>
  <c r="AO92" i="308" s="1"/>
  <c r="AG24" i="310"/>
  <c r="AF36" i="310"/>
  <c r="AF38" i="310" s="1"/>
  <c r="AN85" i="308"/>
  <c r="AN87" i="308"/>
  <c r="AN93" i="308" s="1"/>
  <c r="AF28" i="310"/>
  <c r="AF30" i="310" s="1"/>
  <c r="AF32" i="310"/>
  <c r="AN84" i="308"/>
  <c r="AN86" i="308"/>
  <c r="AN92" i="308" s="1"/>
  <c r="AF24" i="310"/>
  <c r="AE36" i="310"/>
  <c r="AE38" i="310" s="1"/>
  <c r="AM85" i="308"/>
  <c r="AM87" i="308"/>
  <c r="AM93" i="308" s="1"/>
  <c r="AE28" i="310"/>
  <c r="AE30" i="310" s="1"/>
  <c r="AE32" i="310"/>
  <c r="AM84" i="308"/>
  <c r="AM86" i="308"/>
  <c r="AM92" i="308" s="1"/>
  <c r="AE24" i="310"/>
  <c r="AD36" i="310"/>
  <c r="AD38" i="310" s="1"/>
  <c r="AL85" i="308"/>
  <c r="AL87" i="308"/>
  <c r="AL93" i="308" s="1"/>
  <c r="AD28" i="310"/>
  <c r="AD30" i="310" s="1"/>
  <c r="AD32" i="310"/>
  <c r="AL84" i="308"/>
  <c r="AL86" i="308"/>
  <c r="AL92" i="308" s="1"/>
  <c r="AD24" i="310"/>
  <c r="AC36" i="310"/>
  <c r="AC38" i="310" s="1"/>
  <c r="AK85" i="308"/>
  <c r="AK87" i="308"/>
  <c r="AK93" i="308" s="1"/>
  <c r="AC28" i="310"/>
  <c r="AC30" i="310" s="1"/>
  <c r="AC32" i="310"/>
  <c r="AK84" i="308"/>
  <c r="AK86" i="308"/>
  <c r="AK92" i="308" s="1"/>
  <c r="AC24" i="310"/>
  <c r="AB36" i="310"/>
  <c r="AB38" i="310" s="1"/>
  <c r="AJ85" i="308"/>
  <c r="AJ87" i="308"/>
  <c r="AJ93" i="308" s="1"/>
  <c r="AB28" i="310"/>
  <c r="AB30" i="310" s="1"/>
  <c r="AB32" i="310"/>
  <c r="AJ84" i="308"/>
  <c r="AJ86" i="308"/>
  <c r="AJ92" i="308" s="1"/>
  <c r="AB24" i="310"/>
  <c r="AI85" i="308"/>
  <c r="AI87" i="308"/>
  <c r="AI93" i="308" s="1"/>
  <c r="AA28" i="310"/>
  <c r="AA30" i="310" s="1"/>
  <c r="AA36" i="310"/>
  <c r="AA38" i="310" s="1"/>
  <c r="AI84" i="308"/>
  <c r="AI86" i="308"/>
  <c r="AI92" i="308" s="1"/>
  <c r="AA24" i="310"/>
  <c r="AA32" i="310"/>
  <c r="AA34" i="310" s="1"/>
  <c r="AH85" i="308"/>
  <c r="AH87" i="308"/>
  <c r="AH93" i="308" s="1"/>
  <c r="Z28" i="310"/>
  <c r="Z30" i="310" s="1"/>
  <c r="Z36" i="310"/>
  <c r="Z38" i="310" s="1"/>
  <c r="AH84" i="308"/>
  <c r="AH86" i="308"/>
  <c r="AH92" i="308" s="1"/>
  <c r="Z24" i="310"/>
  <c r="Z32" i="310"/>
  <c r="Z34" i="310" s="1"/>
  <c r="AG85" i="308"/>
  <c r="AG87" i="308"/>
  <c r="AG93" i="308" s="1"/>
  <c r="Y28" i="310"/>
  <c r="Y30" i="310" s="1"/>
  <c r="Y36" i="310"/>
  <c r="Y38" i="310" s="1"/>
  <c r="AG84" i="308"/>
  <c r="AG86" i="308"/>
  <c r="AG92" i="308" s="1"/>
  <c r="Y24" i="310"/>
  <c r="Y32" i="310"/>
  <c r="Y34" i="310" s="1"/>
  <c r="AF85" i="308"/>
  <c r="AF87" i="308"/>
  <c r="AF93" i="308" s="1"/>
  <c r="X28" i="310"/>
  <c r="X30" i="310" s="1"/>
  <c r="X36" i="310"/>
  <c r="X38" i="310" s="1"/>
  <c r="AF84" i="308"/>
  <c r="AF86" i="308"/>
  <c r="AF92" i="308" s="1"/>
  <c r="X24" i="310"/>
  <c r="X32" i="310"/>
  <c r="X34" i="310" s="1"/>
  <c r="AE85" i="308"/>
  <c r="AE87" i="308"/>
  <c r="AE93" i="308" s="1"/>
  <c r="W28" i="310"/>
  <c r="W30" i="310" s="1"/>
  <c r="W36" i="310"/>
  <c r="W38" i="310" s="1"/>
  <c r="AE84" i="308"/>
  <c r="AE86" i="308"/>
  <c r="AE92" i="308" s="1"/>
  <c r="W24" i="310"/>
  <c r="W32" i="310"/>
  <c r="W34" i="310" s="1"/>
  <c r="AD85" i="308"/>
  <c r="AD87" i="308"/>
  <c r="AD93" i="308" s="1"/>
  <c r="V28" i="310"/>
  <c r="V30" i="310" s="1"/>
  <c r="V36" i="310"/>
  <c r="V38" i="310" s="1"/>
  <c r="AD84" i="308"/>
  <c r="AD86" i="308"/>
  <c r="AD92" i="308" s="1"/>
  <c r="V24" i="310"/>
  <c r="V32" i="310"/>
  <c r="V34" i="310" s="1"/>
  <c r="AC85" i="308"/>
  <c r="AC87" i="308"/>
  <c r="AC93" i="308" s="1"/>
  <c r="U28" i="310"/>
  <c r="U30" i="310" s="1"/>
  <c r="U36" i="310"/>
  <c r="U38" i="310" s="1"/>
  <c r="AC84" i="308"/>
  <c r="AC86" i="308"/>
  <c r="AC92" i="308" s="1"/>
  <c r="U24" i="310"/>
  <c r="U32" i="310"/>
  <c r="U34" i="310" s="1"/>
  <c r="AB85" i="308"/>
  <c r="AB87" i="308"/>
  <c r="AB93" i="308" s="1"/>
  <c r="T28" i="310"/>
  <c r="T30" i="310" s="1"/>
  <c r="T36" i="310"/>
  <c r="T38" i="310" s="1"/>
  <c r="AB84" i="308"/>
  <c r="AB86" i="308"/>
  <c r="AB92" i="308" s="1"/>
  <c r="T24" i="310"/>
  <c r="T32" i="310"/>
  <c r="T34" i="310" s="1"/>
  <c r="AA85" i="308"/>
  <c r="AA87" i="308"/>
  <c r="AA93" i="308" s="1"/>
  <c r="S28" i="310"/>
  <c r="S30" i="310" s="1"/>
  <c r="S36" i="310"/>
  <c r="S38" i="310" s="1"/>
  <c r="AA84" i="308"/>
  <c r="AA86" i="308"/>
  <c r="AA92" i="308" s="1"/>
  <c r="S24" i="310"/>
  <c r="S32" i="310"/>
  <c r="S34" i="310" s="1"/>
  <c r="Z85" i="308"/>
  <c r="Z87" i="308"/>
  <c r="Z93" i="308" s="1"/>
  <c r="R28" i="310"/>
  <c r="R30" i="310" s="1"/>
  <c r="R36" i="310"/>
  <c r="R38" i="310" s="1"/>
  <c r="Z84" i="308"/>
  <c r="Z86" i="308"/>
  <c r="Z92" i="308" s="1"/>
  <c r="R24" i="310"/>
  <c r="R32" i="310"/>
  <c r="R34" i="310" s="1"/>
  <c r="Y85" i="308"/>
  <c r="Y87" i="308"/>
  <c r="Y93" i="308" s="1"/>
  <c r="Q28" i="310"/>
  <c r="Q30" i="310" s="1"/>
  <c r="Q36" i="310"/>
  <c r="Q38" i="310" s="1"/>
  <c r="Y84" i="308"/>
  <c r="Y86" i="308"/>
  <c r="Y92" i="308" s="1"/>
  <c r="Q24" i="310"/>
  <c r="Q32" i="310"/>
  <c r="Q34" i="310" s="1"/>
  <c r="X85" i="308"/>
  <c r="X87" i="308"/>
  <c r="X93" i="308" s="1"/>
  <c r="P28" i="310"/>
  <c r="P30" i="310" s="1"/>
  <c r="P36" i="310"/>
  <c r="P38" i="310" s="1"/>
  <c r="X84" i="308"/>
  <c r="X86" i="308"/>
  <c r="X92" i="308" s="1"/>
  <c r="P24" i="310"/>
  <c r="P32" i="310"/>
  <c r="P34" i="310" s="1"/>
  <c r="W85" i="308"/>
  <c r="W87" i="308"/>
  <c r="W93" i="308" s="1"/>
  <c r="O28" i="310"/>
  <c r="O30" i="310" s="1"/>
  <c r="O36" i="310"/>
  <c r="O38" i="310" s="1"/>
  <c r="W84" i="308"/>
  <c r="W86" i="308"/>
  <c r="W92" i="308" s="1"/>
  <c r="O24" i="310"/>
  <c r="O32" i="310"/>
  <c r="O34" i="310" s="1"/>
  <c r="V85" i="308"/>
  <c r="V87" i="308"/>
  <c r="V93" i="308" s="1"/>
  <c r="N28" i="310"/>
  <c r="N36" i="310"/>
  <c r="N38" i="310" s="1"/>
  <c r="H59" i="308"/>
  <c r="I59" i="308" s="1"/>
  <c r="B43" i="308" s="1"/>
  <c r="V69" i="308"/>
  <c r="N99" i="310" s="1"/>
  <c r="O100" i="310" s="1"/>
  <c r="W69" i="308"/>
  <c r="O99" i="310" s="1"/>
  <c r="P100" i="310" s="1"/>
  <c r="X69" i="308"/>
  <c r="P99" i="310" s="1"/>
  <c r="Q100" i="310" s="1"/>
  <c r="Y69" i="308"/>
  <c r="Q99" i="310" s="1"/>
  <c r="R100" i="310" s="1"/>
  <c r="Z69" i="308"/>
  <c r="R99" i="310" s="1"/>
  <c r="S100" i="310" s="1"/>
  <c r="AA69" i="308"/>
  <c r="S99" i="310" s="1"/>
  <c r="T100" i="310" s="1"/>
  <c r="AB69" i="308"/>
  <c r="T99" i="310" s="1"/>
  <c r="U100" i="310" s="1"/>
  <c r="AC69" i="308"/>
  <c r="U99" i="310" s="1"/>
  <c r="V100" i="310" s="1"/>
  <c r="AD69" i="308"/>
  <c r="V99" i="310" s="1"/>
  <c r="W100" i="310" s="1"/>
  <c r="AE69" i="308"/>
  <c r="W99" i="310" s="1"/>
  <c r="X100" i="310" s="1"/>
  <c r="AF69" i="308"/>
  <c r="X99" i="310" s="1"/>
  <c r="Y100" i="310" s="1"/>
  <c r="AG69" i="308"/>
  <c r="Y99" i="310" s="1"/>
  <c r="Z100" i="310" s="1"/>
  <c r="AH69" i="308"/>
  <c r="Z99" i="310" s="1"/>
  <c r="AA100" i="310" s="1"/>
  <c r="AI69" i="308"/>
  <c r="AA99" i="310" s="1"/>
  <c r="AB100" i="310" s="1"/>
  <c r="AJ69" i="308"/>
  <c r="AB99" i="310" s="1"/>
  <c r="AC100" i="310" s="1"/>
  <c r="AK69" i="308"/>
  <c r="AC99" i="310" s="1"/>
  <c r="AD100" i="310" s="1"/>
  <c r="AL69" i="308"/>
  <c r="AD99" i="310" s="1"/>
  <c r="AE100" i="310" s="1"/>
  <c r="AM69" i="308"/>
  <c r="AE99" i="310" s="1"/>
  <c r="AF100" i="310" s="1"/>
  <c r="AN69" i="308"/>
  <c r="AF99" i="310" s="1"/>
  <c r="AG100" i="310" s="1"/>
  <c r="AO69" i="308"/>
  <c r="AG99" i="310" s="1"/>
  <c r="AH100" i="310" s="1"/>
  <c r="AP69" i="308"/>
  <c r="AH99" i="310" s="1"/>
  <c r="AI100" i="310" s="1"/>
  <c r="AQ69" i="308"/>
  <c r="AI99" i="310" s="1"/>
  <c r="AJ100" i="310" s="1"/>
  <c r="AR69" i="308"/>
  <c r="AJ99" i="310" s="1"/>
  <c r="AK100" i="310" s="1"/>
  <c r="AS69" i="308"/>
  <c r="AK99" i="310" s="1"/>
  <c r="AL100" i="310" s="1"/>
  <c r="AT69" i="308"/>
  <c r="AL99" i="310" s="1"/>
  <c r="AM100" i="310" s="1"/>
  <c r="AU69" i="308"/>
  <c r="AM99" i="310" s="1"/>
  <c r="AN100" i="310" s="1"/>
  <c r="AV69" i="308"/>
  <c r="AN99" i="310" s="1"/>
  <c r="AO100" i="310" s="1"/>
  <c r="AW69" i="308"/>
  <c r="AO99" i="310" s="1"/>
  <c r="AP100" i="310" s="1"/>
  <c r="AX69" i="308"/>
  <c r="AP99" i="310" s="1"/>
  <c r="AQ100" i="310" s="1"/>
  <c r="AY69" i="308"/>
  <c r="AQ99" i="310" s="1"/>
  <c r="U85" i="308"/>
  <c r="N85" i="308" s="1"/>
  <c r="U87" i="308"/>
  <c r="V84" i="308"/>
  <c r="V86" i="308"/>
  <c r="V92" i="308" s="1"/>
  <c r="N24" i="310"/>
  <c r="N32" i="310"/>
  <c r="H58" i="308"/>
  <c r="V65" i="308"/>
  <c r="N89" i="310" s="1"/>
  <c r="O92" i="310" s="1"/>
  <c r="O89" i="310"/>
  <c r="P92" i="310" s="1"/>
  <c r="P89" i="310"/>
  <c r="Q92" i="310" s="1"/>
  <c r="Y65" i="308"/>
  <c r="Q89" i="310" s="1"/>
  <c r="R92" i="310" s="1"/>
  <c r="Z65" i="308"/>
  <c r="R89" i="310" s="1"/>
  <c r="S92" i="310" s="1"/>
  <c r="AA65" i="308"/>
  <c r="S89" i="310" s="1"/>
  <c r="T92" i="310" s="1"/>
  <c r="AB65" i="308"/>
  <c r="T89" i="310" s="1"/>
  <c r="U92" i="310" s="1"/>
  <c r="AC65" i="308"/>
  <c r="U89" i="310" s="1"/>
  <c r="V92" i="310" s="1"/>
  <c r="AD65" i="308"/>
  <c r="V89" i="310" s="1"/>
  <c r="W92" i="310" s="1"/>
  <c r="AE65" i="308"/>
  <c r="W89" i="310" s="1"/>
  <c r="X92" i="310" s="1"/>
  <c r="AF65" i="308"/>
  <c r="X89" i="310" s="1"/>
  <c r="Y92" i="310" s="1"/>
  <c r="AG65" i="308"/>
  <c r="Y89" i="310" s="1"/>
  <c r="Z92" i="310" s="1"/>
  <c r="AH65" i="308"/>
  <c r="Z89" i="310" s="1"/>
  <c r="AA92" i="310" s="1"/>
  <c r="AI65" i="308"/>
  <c r="AA89" i="310" s="1"/>
  <c r="AB92" i="310" s="1"/>
  <c r="AJ65" i="308"/>
  <c r="AB89" i="310" s="1"/>
  <c r="AC92" i="310" s="1"/>
  <c r="AK65" i="308"/>
  <c r="AC89" i="310" s="1"/>
  <c r="AD92" i="310" s="1"/>
  <c r="AL65" i="308"/>
  <c r="AD89" i="310" s="1"/>
  <c r="AE92" i="310" s="1"/>
  <c r="AM65" i="308"/>
  <c r="AE89" i="310" s="1"/>
  <c r="AF92" i="310" s="1"/>
  <c r="AN65" i="308"/>
  <c r="AF89" i="310" s="1"/>
  <c r="AG92" i="310" s="1"/>
  <c r="AO65" i="308"/>
  <c r="AG89" i="310" s="1"/>
  <c r="AH92" i="310" s="1"/>
  <c r="AP65" i="308"/>
  <c r="AH89" i="310" s="1"/>
  <c r="AI92" i="310" s="1"/>
  <c r="AQ65" i="308"/>
  <c r="AI89" i="310" s="1"/>
  <c r="AJ92" i="310" s="1"/>
  <c r="AR65" i="308"/>
  <c r="AJ89" i="310" s="1"/>
  <c r="AK92" i="310" s="1"/>
  <c r="AS65" i="308"/>
  <c r="AK89" i="310" s="1"/>
  <c r="AL92" i="310" s="1"/>
  <c r="AT65" i="308"/>
  <c r="AL89" i="310" s="1"/>
  <c r="AM92" i="310" s="1"/>
  <c r="AU65" i="308"/>
  <c r="AM89" i="310" s="1"/>
  <c r="AN92" i="310" s="1"/>
  <c r="AV65" i="308"/>
  <c r="AN89" i="310" s="1"/>
  <c r="AO92" i="310" s="1"/>
  <c r="AW65" i="308"/>
  <c r="AO89" i="310" s="1"/>
  <c r="AP92" i="310" s="1"/>
  <c r="AX65" i="308"/>
  <c r="AP89" i="310" s="1"/>
  <c r="AQ92" i="310" s="1"/>
  <c r="AY65" i="308"/>
  <c r="AQ89" i="310" s="1"/>
  <c r="U84" i="308"/>
  <c r="N84" i="308" s="1"/>
  <c r="U86" i="308"/>
  <c r="M38" i="310"/>
  <c r="F36" i="310"/>
  <c r="M34" i="310"/>
  <c r="M53" i="310" s="1"/>
  <c r="AQ34" i="310"/>
  <c r="AQ53" i="310" s="1"/>
  <c r="AP34" i="310"/>
  <c r="AP53" i="310" s="1"/>
  <c r="AO34" i="310"/>
  <c r="AO53" i="310" s="1"/>
  <c r="AN34" i="310"/>
  <c r="AN53" i="310" s="1"/>
  <c r="AM34" i="310"/>
  <c r="AM53" i="310" s="1"/>
  <c r="AL34" i="310"/>
  <c r="AL53" i="310" s="1"/>
  <c r="AK34" i="310"/>
  <c r="AK53" i="310" s="1"/>
  <c r="AJ34" i="310"/>
  <c r="AJ53" i="310" s="1"/>
  <c r="AI34" i="310"/>
  <c r="AI53" i="310" s="1"/>
  <c r="AH34" i="310"/>
  <c r="AH53" i="310" s="1"/>
  <c r="AG34" i="310"/>
  <c r="AG53" i="310" s="1"/>
  <c r="AF34" i="310"/>
  <c r="AF53" i="310" s="1"/>
  <c r="AE34" i="310"/>
  <c r="AE53" i="310" s="1"/>
  <c r="AD34" i="310"/>
  <c r="AD53" i="310" s="1"/>
  <c r="AC34" i="310"/>
  <c r="AC53" i="310" s="1"/>
  <c r="AB34" i="310"/>
  <c r="AB53" i="310" s="1"/>
  <c r="AA53" i="310"/>
  <c r="Z53" i="310"/>
  <c r="Y53" i="310"/>
  <c r="X53" i="310"/>
  <c r="W53" i="310"/>
  <c r="V53" i="310"/>
  <c r="U53" i="310"/>
  <c r="T53" i="310"/>
  <c r="S53" i="310"/>
  <c r="R53" i="310"/>
  <c r="Q53" i="310"/>
  <c r="P53" i="310"/>
  <c r="O53" i="310"/>
  <c r="N22" i="310"/>
  <c r="O22" i="310"/>
  <c r="P22" i="310"/>
  <c r="Q22" i="310"/>
  <c r="R22" i="310"/>
  <c r="S22" i="310"/>
  <c r="T22" i="310"/>
  <c r="U22" i="310"/>
  <c r="V22" i="310"/>
  <c r="W22" i="310"/>
  <c r="X22" i="310"/>
  <c r="Y22" i="310"/>
  <c r="Z22" i="310"/>
  <c r="AA22" i="310"/>
  <c r="AB22" i="310"/>
  <c r="AC22" i="310"/>
  <c r="AD22" i="310"/>
  <c r="AE22" i="310"/>
  <c r="AF22" i="310"/>
  <c r="AG22" i="310"/>
  <c r="AH22" i="310"/>
  <c r="AI22" i="310"/>
  <c r="AJ22" i="310"/>
  <c r="AK22" i="310"/>
  <c r="AL22" i="310"/>
  <c r="AM22" i="310"/>
  <c r="AN22" i="310"/>
  <c r="AO22" i="310"/>
  <c r="AP22" i="310"/>
  <c r="AQ22" i="310"/>
  <c r="M22" i="310"/>
  <c r="L2" i="188"/>
  <c r="Q172" i="214"/>
  <c r="M42" i="310"/>
  <c r="N42" i="310"/>
  <c r="O42" i="310"/>
  <c r="P42" i="310"/>
  <c r="Q42" i="310"/>
  <c r="R42" i="310"/>
  <c r="S42" i="310"/>
  <c r="T42" i="310"/>
  <c r="U42" i="310"/>
  <c r="V42" i="310"/>
  <c r="W42" i="310"/>
  <c r="X42" i="310"/>
  <c r="Y42" i="310"/>
  <c r="Z42" i="310"/>
  <c r="AA42" i="310"/>
  <c r="AB42" i="310"/>
  <c r="AC42" i="310"/>
  <c r="AD42" i="310"/>
  <c r="AE42" i="310"/>
  <c r="AF42" i="310"/>
  <c r="AG42" i="310"/>
  <c r="AH42" i="310"/>
  <c r="AI42" i="310"/>
  <c r="AJ42" i="310"/>
  <c r="AK42" i="310"/>
  <c r="AL42" i="310"/>
  <c r="AM42" i="310"/>
  <c r="AN42" i="310"/>
  <c r="AO42" i="310"/>
  <c r="AP42" i="310"/>
  <c r="AQ42" i="310"/>
  <c r="M115" i="310"/>
  <c r="N16" i="234"/>
  <c r="N14" i="310"/>
  <c r="O14" i="310"/>
  <c r="P14" i="310"/>
  <c r="Q14" i="310"/>
  <c r="R14" i="310"/>
  <c r="S14" i="310"/>
  <c r="T14" i="310"/>
  <c r="U14" i="310"/>
  <c r="V14" i="310"/>
  <c r="W14" i="310"/>
  <c r="X14" i="310"/>
  <c r="Y14" i="310"/>
  <c r="Z14" i="310"/>
  <c r="AA14" i="310"/>
  <c r="AB14" i="310"/>
  <c r="AC14" i="310"/>
  <c r="AD14" i="310"/>
  <c r="AE14" i="310"/>
  <c r="AF14" i="310"/>
  <c r="AG14" i="310"/>
  <c r="AH14" i="310"/>
  <c r="AI14" i="310"/>
  <c r="AJ14" i="310"/>
  <c r="AK14" i="310"/>
  <c r="AL14" i="310"/>
  <c r="AM14" i="310"/>
  <c r="AN14" i="310"/>
  <c r="AO14" i="310"/>
  <c r="AP14" i="310"/>
  <c r="AQ14" i="310"/>
  <c r="M14" i="310"/>
  <c r="M44" i="310" s="1"/>
  <c r="M109" i="310"/>
  <c r="M139" i="310"/>
  <c r="I58" i="308" l="1"/>
  <c r="B30" i="308" s="1"/>
  <c r="U92" i="308"/>
  <c r="G92" i="308" s="1"/>
  <c r="N86" i="308"/>
  <c r="F32" i="310"/>
  <c r="N34" i="310"/>
  <c r="N53" i="310" s="1"/>
  <c r="N26" i="310"/>
  <c r="N83" i="310"/>
  <c r="N85" i="310" s="1"/>
  <c r="F24" i="310"/>
  <c r="AQ69" i="310"/>
  <c r="AQ72" i="310"/>
  <c r="AP69" i="310"/>
  <c r="AP72" i="310"/>
  <c r="AO69" i="310"/>
  <c r="AO72" i="310"/>
  <c r="AN69" i="310"/>
  <c r="AN72" i="310"/>
  <c r="AM69" i="310"/>
  <c r="AM72" i="310"/>
  <c r="AL69" i="310"/>
  <c r="AL72" i="310"/>
  <c r="AK69" i="310"/>
  <c r="AK72" i="310"/>
  <c r="AJ69" i="310"/>
  <c r="AJ72" i="310"/>
  <c r="AI69" i="310"/>
  <c r="AI72" i="310"/>
  <c r="AH69" i="310"/>
  <c r="AH72" i="310"/>
  <c r="AG69" i="310"/>
  <c r="AG72" i="310"/>
  <c r="AF69" i="310"/>
  <c r="AF72" i="310"/>
  <c r="AE69" i="310"/>
  <c r="AE72" i="310"/>
  <c r="AD69" i="310"/>
  <c r="AD72" i="310"/>
  <c r="AC69" i="310"/>
  <c r="AC72" i="310"/>
  <c r="AB69" i="310"/>
  <c r="AB72" i="310"/>
  <c r="AA69" i="310"/>
  <c r="AA72" i="310"/>
  <c r="Z69" i="310"/>
  <c r="Z72" i="310"/>
  <c r="Y69" i="310"/>
  <c r="Y72" i="310"/>
  <c r="X69" i="310"/>
  <c r="X72" i="310"/>
  <c r="W69" i="310"/>
  <c r="W72" i="310"/>
  <c r="V69" i="310"/>
  <c r="V72" i="310"/>
  <c r="U69" i="310"/>
  <c r="U72" i="310"/>
  <c r="T69" i="310"/>
  <c r="T72" i="310"/>
  <c r="S69" i="310"/>
  <c r="S72" i="310"/>
  <c r="R69" i="310"/>
  <c r="R72" i="310"/>
  <c r="Q69" i="310"/>
  <c r="Q72" i="310"/>
  <c r="P69" i="310"/>
  <c r="P72" i="310"/>
  <c r="O69" i="310"/>
  <c r="O72" i="310"/>
  <c r="U93" i="308"/>
  <c r="G93" i="308" s="1"/>
  <c r="N87" i="308"/>
  <c r="N30" i="310"/>
  <c r="F28" i="310"/>
  <c r="O26" i="310"/>
  <c r="O44" i="310" s="1"/>
  <c r="O83" i="310"/>
  <c r="O85" i="310" s="1"/>
  <c r="P26" i="310"/>
  <c r="P44" i="310" s="1"/>
  <c r="P83" i="310"/>
  <c r="P85" i="310" s="1"/>
  <c r="Q26" i="310"/>
  <c r="Q44" i="310" s="1"/>
  <c r="Q83" i="310"/>
  <c r="Q85" i="310" s="1"/>
  <c r="R26" i="310"/>
  <c r="R44" i="310" s="1"/>
  <c r="R83" i="310"/>
  <c r="R85" i="310" s="1"/>
  <c r="S26" i="310"/>
  <c r="S44" i="310" s="1"/>
  <c r="S83" i="310"/>
  <c r="S85" i="310" s="1"/>
  <c r="T26" i="310"/>
  <c r="T44" i="310" s="1"/>
  <c r="T83" i="310"/>
  <c r="T85" i="310" s="1"/>
  <c r="U26" i="310"/>
  <c r="U44" i="310" s="1"/>
  <c r="U83" i="310"/>
  <c r="U85" i="310" s="1"/>
  <c r="V26" i="310"/>
  <c r="V44" i="310" s="1"/>
  <c r="V83" i="310"/>
  <c r="V85" i="310" s="1"/>
  <c r="W26" i="310"/>
  <c r="W44" i="310" s="1"/>
  <c r="W83" i="310"/>
  <c r="W85" i="310" s="1"/>
  <c r="X26" i="310"/>
  <c r="X44" i="310" s="1"/>
  <c r="X83" i="310"/>
  <c r="X85" i="310" s="1"/>
  <c r="Y26" i="310"/>
  <c r="Y44" i="310" s="1"/>
  <c r="Y83" i="310"/>
  <c r="Y85" i="310" s="1"/>
  <c r="Z26" i="310"/>
  <c r="Z44" i="310" s="1"/>
  <c r="Z83" i="310"/>
  <c r="Z85" i="310" s="1"/>
  <c r="AA26" i="310"/>
  <c r="AA44" i="310" s="1"/>
  <c r="AA83" i="310"/>
  <c r="AA85" i="310" s="1"/>
  <c r="AB26" i="310"/>
  <c r="AB44" i="310" s="1"/>
  <c r="AB83" i="310"/>
  <c r="AB85" i="310" s="1"/>
  <c r="AC26" i="310"/>
  <c r="AC44" i="310" s="1"/>
  <c r="AC83" i="310"/>
  <c r="AC85" i="310" s="1"/>
  <c r="AD26" i="310"/>
  <c r="AD44" i="310" s="1"/>
  <c r="AD83" i="310"/>
  <c r="AD85" i="310" s="1"/>
  <c r="AE26" i="310"/>
  <c r="AE44" i="310" s="1"/>
  <c r="AE83" i="310"/>
  <c r="AE85" i="310" s="1"/>
  <c r="AF26" i="310"/>
  <c r="AF44" i="310" s="1"/>
  <c r="AF83" i="310"/>
  <c r="AF85" i="310" s="1"/>
  <c r="AG26" i="310"/>
  <c r="AG44" i="310" s="1"/>
  <c r="AG83" i="310"/>
  <c r="AG85" i="310" s="1"/>
  <c r="AH26" i="310"/>
  <c r="AH44" i="310" s="1"/>
  <c r="AH83" i="310"/>
  <c r="AH85" i="310" s="1"/>
  <c r="AI26" i="310"/>
  <c r="AI44" i="310" s="1"/>
  <c r="AI83" i="310"/>
  <c r="AI85" i="310" s="1"/>
  <c r="AJ26" i="310"/>
  <c r="AJ44" i="310" s="1"/>
  <c r="AJ83" i="310"/>
  <c r="AJ85" i="310" s="1"/>
  <c r="AK26" i="310"/>
  <c r="AK44" i="310" s="1"/>
  <c r="AK83" i="310"/>
  <c r="AK85" i="310" s="1"/>
  <c r="AL26" i="310"/>
  <c r="AL44" i="310" s="1"/>
  <c r="AL83" i="310"/>
  <c r="AL85" i="310" s="1"/>
  <c r="AM26" i="310"/>
  <c r="AM44" i="310" s="1"/>
  <c r="AM83" i="310"/>
  <c r="AM85" i="310" s="1"/>
  <c r="AN26" i="310"/>
  <c r="AN44" i="310" s="1"/>
  <c r="AN83" i="310"/>
  <c r="AN85" i="310" s="1"/>
  <c r="AO26" i="310"/>
  <c r="AO44" i="310" s="1"/>
  <c r="AO83" i="310"/>
  <c r="AO85" i="310" s="1"/>
  <c r="AP26" i="310"/>
  <c r="AP44" i="310" s="1"/>
  <c r="AP83" i="310"/>
  <c r="AP85" i="310" s="1"/>
  <c r="AQ26" i="310"/>
  <c r="AQ44" i="310" s="1"/>
  <c r="AQ83" i="310"/>
  <c r="AQ85" i="310" s="1"/>
  <c r="AQ65" i="310"/>
  <c r="AP65" i="310"/>
  <c r="AO65" i="310"/>
  <c r="AN65" i="310"/>
  <c r="AM65" i="310"/>
  <c r="AL65" i="310"/>
  <c r="AK65" i="310"/>
  <c r="AJ65" i="310"/>
  <c r="AI65" i="310"/>
  <c r="AH65" i="310"/>
  <c r="AG65" i="310"/>
  <c r="AF65" i="310"/>
  <c r="AE65" i="310"/>
  <c r="AD65" i="310"/>
  <c r="AC65" i="310"/>
  <c r="AB65" i="310"/>
  <c r="AA65" i="310"/>
  <c r="Z65" i="310"/>
  <c r="Y65" i="310"/>
  <c r="X65" i="310"/>
  <c r="W65" i="310"/>
  <c r="V65" i="310"/>
  <c r="U65" i="310"/>
  <c r="T65" i="310"/>
  <c r="S65" i="310"/>
  <c r="R65" i="310"/>
  <c r="Q65" i="310"/>
  <c r="P65" i="310"/>
  <c r="O65" i="310"/>
  <c r="N65" i="310"/>
  <c r="Q187" i="214"/>
  <c r="Q180" i="214"/>
  <c r="Q2" i="188" s="1"/>
  <c r="O16" i="234"/>
  <c r="AQ49" i="310"/>
  <c r="AP49" i="310"/>
  <c r="AO49" i="310"/>
  <c r="AN49" i="310"/>
  <c r="AM49" i="310"/>
  <c r="AL49" i="310"/>
  <c r="AK49" i="310"/>
  <c r="AJ49" i="310"/>
  <c r="AI49" i="310"/>
  <c r="AH49" i="310"/>
  <c r="AG49" i="310"/>
  <c r="AF49" i="310"/>
  <c r="AE49" i="310"/>
  <c r="AD49" i="310"/>
  <c r="AC49" i="310"/>
  <c r="AB49" i="310"/>
  <c r="AA49" i="310"/>
  <c r="Z49" i="310"/>
  <c r="Y49" i="310"/>
  <c r="O17" i="234"/>
  <c r="X49" i="310"/>
  <c r="W49" i="310"/>
  <c r="M17" i="234"/>
  <c r="V49" i="310"/>
  <c r="L17" i="234"/>
  <c r="U49" i="310"/>
  <c r="T49" i="310"/>
  <c r="S49" i="310"/>
  <c r="R49" i="310"/>
  <c r="Q49" i="310"/>
  <c r="P49" i="310"/>
  <c r="F17" i="234"/>
  <c r="O49" i="310"/>
  <c r="E17" i="234"/>
  <c r="N49" i="310"/>
  <c r="M49" i="310"/>
  <c r="AQ64" i="310"/>
  <c r="AP64" i="310"/>
  <c r="AO64" i="310"/>
  <c r="AN64" i="310"/>
  <c r="AM64" i="310"/>
  <c r="AL64" i="310"/>
  <c r="AK64" i="310"/>
  <c r="AJ64" i="310"/>
  <c r="AI64" i="310"/>
  <c r="AH64" i="310"/>
  <c r="AG64" i="310"/>
  <c r="AF64" i="310"/>
  <c r="AE64" i="310"/>
  <c r="AD64" i="310"/>
  <c r="AC64" i="310"/>
  <c r="AB64" i="310"/>
  <c r="AA64" i="310"/>
  <c r="Z64" i="310"/>
  <c r="Y64" i="310"/>
  <c r="X64" i="310"/>
  <c r="W64" i="310"/>
  <c r="V64" i="310"/>
  <c r="U64" i="310"/>
  <c r="T64" i="310"/>
  <c r="S64" i="310"/>
  <c r="R64" i="310"/>
  <c r="Q64" i="310"/>
  <c r="P64" i="310"/>
  <c r="O64" i="310"/>
  <c r="N64" i="310"/>
  <c r="N74" i="310" s="1"/>
  <c r="M138" i="310"/>
  <c r="AC54" i="310"/>
  <c r="AD54" i="310"/>
  <c r="O138" i="310"/>
  <c r="AE54" i="310"/>
  <c r="P138" i="310"/>
  <c r="AF54" i="310"/>
  <c r="Q138" i="310"/>
  <c r="AG54" i="310"/>
  <c r="R138" i="310"/>
  <c r="AH54" i="310"/>
  <c r="S138" i="310"/>
  <c r="AI54" i="310"/>
  <c r="T138" i="310"/>
  <c r="AJ54" i="310"/>
  <c r="U138" i="310"/>
  <c r="AK54" i="310"/>
  <c r="V138" i="310"/>
  <c r="AL54" i="310"/>
  <c r="W138" i="310"/>
  <c r="AM54" i="310"/>
  <c r="X138" i="310"/>
  <c r="AN54" i="310"/>
  <c r="Y138" i="310"/>
  <c r="AO54" i="310"/>
  <c r="Z138" i="310"/>
  <c r="AP54" i="310"/>
  <c r="AA138" i="310"/>
  <c r="AQ54" i="310"/>
  <c r="AB138" i="310"/>
  <c r="AC138" i="310"/>
  <c r="AD138" i="310"/>
  <c r="AE138" i="310"/>
  <c r="AF138" i="310"/>
  <c r="AG138" i="310"/>
  <c r="AH138" i="310"/>
  <c r="AI138" i="310"/>
  <c r="AJ138" i="310"/>
  <c r="AK138" i="310"/>
  <c r="AL138" i="310"/>
  <c r="AM138" i="310"/>
  <c r="AN138" i="310"/>
  <c r="AO138" i="310"/>
  <c r="AP138" i="310"/>
  <c r="AQ138" i="310"/>
  <c r="N111" i="310"/>
  <c r="AQ110" i="310"/>
  <c r="M116" i="310"/>
  <c r="M136" i="310"/>
  <c r="AQ109" i="310" l="1"/>
  <c r="AQ139" i="310"/>
  <c r="AP109" i="310"/>
  <c r="AP139" i="310"/>
  <c r="AO109" i="310"/>
  <c r="AO139" i="310"/>
  <c r="AN109" i="310"/>
  <c r="AN139" i="310"/>
  <c r="AM109" i="310"/>
  <c r="AM139" i="310"/>
  <c r="AL109" i="310"/>
  <c r="AL139" i="310"/>
  <c r="AK109" i="310"/>
  <c r="AK139" i="310"/>
  <c r="AJ109" i="310"/>
  <c r="AJ139" i="310"/>
  <c r="AI109" i="310"/>
  <c r="AI139" i="310"/>
  <c r="AH109" i="310"/>
  <c r="AH139" i="310"/>
  <c r="AG109" i="310"/>
  <c r="AG139" i="310"/>
  <c r="AF109" i="310"/>
  <c r="AF139" i="310"/>
  <c r="AE109" i="310"/>
  <c r="AE139" i="310"/>
  <c r="AD109" i="310"/>
  <c r="AD139" i="310"/>
  <c r="AC109" i="310"/>
  <c r="AC139" i="310"/>
  <c r="AB109" i="310"/>
  <c r="AB139" i="310"/>
  <c r="AA109" i="310"/>
  <c r="AA139" i="310"/>
  <c r="Z109" i="310"/>
  <c r="Z139" i="310"/>
  <c r="Y109" i="310"/>
  <c r="Y139" i="310"/>
  <c r="X109" i="310"/>
  <c r="X139" i="310"/>
  <c r="W109" i="310"/>
  <c r="W139" i="310"/>
  <c r="V109" i="310"/>
  <c r="V139" i="310"/>
  <c r="U109" i="310"/>
  <c r="U139" i="310"/>
  <c r="T109" i="310"/>
  <c r="T139" i="310"/>
  <c r="S109" i="310"/>
  <c r="S139" i="310"/>
  <c r="R109" i="310"/>
  <c r="R139" i="310"/>
  <c r="Q109" i="310"/>
  <c r="Q139" i="310"/>
  <c r="P109" i="310"/>
  <c r="P139" i="310"/>
  <c r="O109" i="310"/>
  <c r="O139" i="310"/>
  <c r="N109" i="310"/>
  <c r="N139" i="310"/>
  <c r="O66" i="310"/>
  <c r="O74" i="310" s="1"/>
  <c r="P66" i="310"/>
  <c r="P74" i="310" s="1"/>
  <c r="Q66" i="310"/>
  <c r="Q74" i="310" s="1"/>
  <c r="R66" i="310"/>
  <c r="R74" i="310" s="1"/>
  <c r="S66" i="310"/>
  <c r="S74" i="310" s="1"/>
  <c r="T66" i="310"/>
  <c r="T74" i="310" s="1"/>
  <c r="U66" i="310"/>
  <c r="U74" i="310" s="1"/>
  <c r="V66" i="310"/>
  <c r="V74" i="310" s="1"/>
  <c r="W66" i="310"/>
  <c r="W74" i="310" s="1"/>
  <c r="X66" i="310"/>
  <c r="X74" i="310" s="1"/>
  <c r="Y66" i="310"/>
  <c r="Y74" i="310" s="1"/>
  <c r="Z66" i="310"/>
  <c r="Z74" i="310" s="1"/>
  <c r="AA66" i="310"/>
  <c r="AA74" i="310" s="1"/>
  <c r="AB66" i="310"/>
  <c r="AB74" i="310" s="1"/>
  <c r="AC66" i="310"/>
  <c r="AC74" i="310" s="1"/>
  <c r="AD66" i="310"/>
  <c r="AD74" i="310" s="1"/>
  <c r="AE66" i="310"/>
  <c r="AE74" i="310" s="1"/>
  <c r="AF66" i="310"/>
  <c r="AF74" i="310" s="1"/>
  <c r="AG66" i="310"/>
  <c r="AG74" i="310" s="1"/>
  <c r="AH66" i="310"/>
  <c r="AH74" i="310" s="1"/>
  <c r="AI66" i="310"/>
  <c r="AI74" i="310" s="1"/>
  <c r="AJ66" i="310"/>
  <c r="AJ74" i="310" s="1"/>
  <c r="AK66" i="310"/>
  <c r="AK74" i="310" s="1"/>
  <c r="AL66" i="310"/>
  <c r="AL74" i="310" s="1"/>
  <c r="AM66" i="310"/>
  <c r="AM74" i="310" s="1"/>
  <c r="AN66" i="310"/>
  <c r="AN74" i="310" s="1"/>
  <c r="AO66" i="310"/>
  <c r="AO74" i="310" s="1"/>
  <c r="AP66" i="310"/>
  <c r="AP74" i="310" s="1"/>
  <c r="AQ66" i="310"/>
  <c r="AQ74" i="310" s="1"/>
  <c r="N44" i="310"/>
  <c r="N138" i="310" s="1"/>
  <c r="C17" i="234"/>
  <c r="D17" i="234" s="1"/>
  <c r="N22" i="234"/>
  <c r="P16" i="234"/>
  <c r="P17" i="234"/>
  <c r="N51" i="310"/>
  <c r="O51" i="310"/>
  <c r="P51" i="310"/>
  <c r="Q51" i="310"/>
  <c r="R51" i="310"/>
  <c r="S51" i="310"/>
  <c r="T51" i="310"/>
  <c r="U51" i="310"/>
  <c r="V51" i="310"/>
  <c r="W51" i="310"/>
  <c r="X51" i="310"/>
  <c r="Y51" i="310"/>
  <c r="Z51" i="310"/>
  <c r="AA51" i="310"/>
  <c r="AB51" i="310"/>
  <c r="AC51" i="310"/>
  <c r="AD51" i="310"/>
  <c r="AE51" i="310"/>
  <c r="AF51" i="310"/>
  <c r="AG51" i="310"/>
  <c r="AH51" i="310"/>
  <c r="AI51" i="310"/>
  <c r="AJ51" i="310"/>
  <c r="AK51" i="310"/>
  <c r="AL51" i="310"/>
  <c r="AM51" i="310"/>
  <c r="AN51" i="310"/>
  <c r="AO51" i="310"/>
  <c r="AP51" i="310"/>
  <c r="AQ51" i="310"/>
  <c r="AQ50" i="310"/>
  <c r="M119" i="310"/>
  <c r="M120" i="310"/>
  <c r="M130" i="310" s="1"/>
  <c r="M121" i="310"/>
  <c r="M124" i="310"/>
  <c r="N55" i="310"/>
  <c r="N57" i="310" s="1"/>
  <c r="O55" i="310"/>
  <c r="O57" i="310" s="1"/>
  <c r="P55" i="310"/>
  <c r="P57" i="310" s="1"/>
  <c r="Q55" i="310"/>
  <c r="Q57" i="310" s="1"/>
  <c r="R55" i="310"/>
  <c r="R57" i="310" s="1"/>
  <c r="S55" i="310"/>
  <c r="S57" i="310" s="1"/>
  <c r="T55" i="310"/>
  <c r="T57" i="310" s="1"/>
  <c r="U55" i="310"/>
  <c r="U57" i="310" s="1"/>
  <c r="V55" i="310"/>
  <c r="V57" i="310" s="1"/>
  <c r="W55" i="310"/>
  <c r="W57" i="310" s="1"/>
  <c r="X55" i="310"/>
  <c r="X57" i="310" s="1"/>
  <c r="Y55" i="310"/>
  <c r="Y57" i="310" s="1"/>
  <c r="Z55" i="310"/>
  <c r="Z57" i="310" s="1"/>
  <c r="AA55" i="310"/>
  <c r="AA57" i="310" s="1"/>
  <c r="AB55" i="310"/>
  <c r="AB57" i="310" s="1"/>
  <c r="AB54" i="310"/>
  <c r="O111" i="310" l="1"/>
  <c r="P111" i="310"/>
  <c r="Q111" i="310"/>
  <c r="R111" i="310"/>
  <c r="S111" i="310"/>
  <c r="T111" i="310"/>
  <c r="U111" i="310"/>
  <c r="V111" i="310"/>
  <c r="W111" i="310"/>
  <c r="X111" i="310"/>
  <c r="Y111" i="310"/>
  <c r="Z111" i="310"/>
  <c r="AA111" i="310"/>
  <c r="AB111" i="310"/>
  <c r="AC111" i="310"/>
  <c r="AD111" i="310"/>
  <c r="AE111" i="310"/>
  <c r="AF111" i="310"/>
  <c r="AG111" i="310"/>
  <c r="AH111" i="310"/>
  <c r="AI111" i="310"/>
  <c r="AJ111" i="310"/>
  <c r="AK111" i="310"/>
  <c r="AL111" i="310"/>
  <c r="AM111" i="310"/>
  <c r="AN111" i="310"/>
  <c r="AO111" i="310"/>
  <c r="AP111" i="310"/>
  <c r="AQ111" i="310"/>
  <c r="G17" i="234"/>
  <c r="K17" i="234"/>
  <c r="H17" i="234"/>
  <c r="I17" i="234"/>
  <c r="Q16" i="234"/>
  <c r="Q17" i="234"/>
  <c r="AC55" i="310"/>
  <c r="AC57" i="310" s="1"/>
  <c r="AD55" i="310"/>
  <c r="AD57" i="310" s="1"/>
  <c r="AE55" i="310"/>
  <c r="AE57" i="310" s="1"/>
  <c r="AF55" i="310"/>
  <c r="AF57" i="310" s="1"/>
  <c r="AG55" i="310"/>
  <c r="AG57" i="310" s="1"/>
  <c r="AH55" i="310"/>
  <c r="AH57" i="310" s="1"/>
  <c r="AI55" i="310"/>
  <c r="AI57" i="310" s="1"/>
  <c r="AJ55" i="310"/>
  <c r="AJ57" i="310" s="1"/>
  <c r="AK55" i="310"/>
  <c r="AK57" i="310" s="1"/>
  <c r="AL55" i="310"/>
  <c r="AL57" i="310" s="1"/>
  <c r="AM55" i="310"/>
  <c r="AM57" i="310" s="1"/>
  <c r="AN55" i="310"/>
  <c r="AN57" i="310" s="1"/>
  <c r="AO55" i="310"/>
  <c r="AO57" i="310" s="1"/>
  <c r="AP55" i="310"/>
  <c r="AP57" i="310" s="1"/>
  <c r="AQ55" i="310"/>
  <c r="AQ57" i="310" s="1"/>
  <c r="M125" i="310"/>
  <c r="M128" i="310" s="1"/>
  <c r="M126" i="310"/>
  <c r="M129" i="310" s="1"/>
  <c r="M122" i="310"/>
  <c r="N118" i="310" s="1"/>
  <c r="J17" i="234" l="1"/>
  <c r="N17" i="234"/>
  <c r="R16" i="234"/>
  <c r="R17" i="234"/>
  <c r="M132" i="310"/>
  <c r="M137" i="310" s="1"/>
  <c r="M140" i="310" s="1"/>
  <c r="S16" i="234" l="1"/>
  <c r="S17" i="234"/>
  <c r="M141" i="310"/>
  <c r="M146" i="310"/>
  <c r="M147" i="310" s="1"/>
  <c r="T16" i="234" l="1"/>
  <c r="T17" i="234"/>
  <c r="M148" i="310"/>
  <c r="U16" i="234" l="1"/>
  <c r="U17" i="234"/>
  <c r="H147" i="310" l="1"/>
  <c r="V66" i="308"/>
  <c r="W66" i="308"/>
  <c r="X66" i="308"/>
  <c r="Y66" i="308"/>
  <c r="Z66" i="308"/>
  <c r="AA66" i="308"/>
  <c r="AB66" i="308"/>
  <c r="AC66" i="308"/>
  <c r="AD66" i="308"/>
  <c r="AE66" i="308"/>
  <c r="AF66" i="308"/>
  <c r="AG66" i="308"/>
  <c r="AH66" i="308"/>
  <c r="AI66" i="308"/>
  <c r="AJ66" i="308"/>
  <c r="AK66" i="308"/>
  <c r="AL66" i="308"/>
  <c r="AM66" i="308"/>
  <c r="AN66" i="308"/>
  <c r="AO66" i="308"/>
  <c r="AP66" i="308"/>
  <c r="AQ66" i="308"/>
  <c r="AR66" i="308"/>
  <c r="AS66" i="308"/>
  <c r="AT66" i="308"/>
  <c r="AU66" i="308"/>
  <c r="AV66" i="308"/>
  <c r="AW66" i="308"/>
  <c r="AX66" i="308"/>
  <c r="AY66" i="308"/>
  <c r="V70" i="308"/>
  <c r="W70" i="308"/>
  <c r="X70" i="308"/>
  <c r="Y70" i="308"/>
  <c r="Z70" i="308"/>
  <c r="AA70" i="308"/>
  <c r="AB70" i="308"/>
  <c r="AC70" i="308"/>
  <c r="AD70" i="308"/>
  <c r="AE70" i="308"/>
  <c r="AF70" i="308"/>
  <c r="AG70" i="308"/>
  <c r="AH70" i="308"/>
  <c r="AI70" i="308"/>
  <c r="AJ70" i="308"/>
  <c r="AK70" i="308"/>
  <c r="AL70" i="308"/>
  <c r="AM70" i="308"/>
  <c r="AN70" i="308"/>
  <c r="AO70" i="308"/>
  <c r="AP70" i="308"/>
  <c r="AQ70" i="308"/>
  <c r="AR70" i="308"/>
  <c r="AS70" i="308"/>
  <c r="AT70" i="308"/>
  <c r="AU70" i="308"/>
  <c r="AV70" i="308"/>
  <c r="AW70" i="308"/>
  <c r="AX70" i="308"/>
  <c r="AY70" i="308"/>
  <c r="AQ102" i="310"/>
  <c r="AQ103" i="310"/>
  <c r="AP102" i="310"/>
  <c r="AP103" i="310"/>
  <c r="AO102" i="310"/>
  <c r="AO103" i="310"/>
  <c r="AN102" i="310"/>
  <c r="AN103" i="310"/>
  <c r="AM102" i="310"/>
  <c r="AM103" i="310"/>
  <c r="AL102" i="310"/>
  <c r="AL103" i="310"/>
  <c r="AK102" i="310"/>
  <c r="AK103" i="310"/>
  <c r="AJ102" i="310"/>
  <c r="AJ103" i="310"/>
  <c r="AI102" i="310"/>
  <c r="AI103" i="310"/>
  <c r="AH102" i="310"/>
  <c r="AH103" i="310"/>
  <c r="AG102" i="310"/>
  <c r="AG103" i="310"/>
  <c r="AF102" i="310"/>
  <c r="AF103" i="310"/>
  <c r="AE102" i="310"/>
  <c r="AE103" i="310"/>
  <c r="AD102" i="310"/>
  <c r="AD103" i="310"/>
  <c r="AC102" i="310"/>
  <c r="AC103" i="310"/>
  <c r="AB102" i="310"/>
  <c r="AB103" i="310"/>
  <c r="AA102" i="310"/>
  <c r="AA103" i="310"/>
  <c r="Z102" i="310"/>
  <c r="Z103" i="310"/>
  <c r="Y102" i="310"/>
  <c r="Y103" i="310"/>
  <c r="X102" i="310"/>
  <c r="X103" i="310"/>
  <c r="W102" i="310"/>
  <c r="W103" i="310"/>
  <c r="V102" i="310"/>
  <c r="V103" i="310"/>
  <c r="U102" i="310"/>
  <c r="U103" i="310"/>
  <c r="T102" i="310"/>
  <c r="T103" i="310"/>
  <c r="S102" i="310"/>
  <c r="S103" i="310"/>
  <c r="R102" i="310"/>
  <c r="R103" i="310"/>
  <c r="Q102" i="310"/>
  <c r="Q103" i="310"/>
  <c r="P102" i="310"/>
  <c r="P103" i="310"/>
  <c r="O102" i="310"/>
  <c r="O103" i="310"/>
  <c r="N102" i="310"/>
  <c r="N103" i="310"/>
  <c r="AQ95" i="310"/>
  <c r="AP95" i="310"/>
  <c r="AO95" i="310"/>
  <c r="AN95" i="310"/>
  <c r="AM95" i="310"/>
  <c r="AL95" i="310"/>
  <c r="AK95" i="310"/>
  <c r="AJ95" i="310"/>
  <c r="AI95" i="310"/>
  <c r="AH95" i="310"/>
  <c r="AG95" i="310"/>
  <c r="AF95" i="310"/>
  <c r="AE95" i="310"/>
  <c r="AD95" i="310"/>
  <c r="AC95" i="310"/>
  <c r="AB95" i="310"/>
  <c r="AA95" i="310"/>
  <c r="Z95" i="310"/>
  <c r="Y95" i="310"/>
  <c r="X95" i="310"/>
  <c r="W95" i="310"/>
  <c r="V95" i="310"/>
  <c r="U95" i="310"/>
  <c r="T95" i="310"/>
  <c r="S95" i="310"/>
  <c r="R95" i="310"/>
  <c r="Q95" i="310"/>
  <c r="P95" i="310"/>
  <c r="O95" i="310"/>
  <c r="N95" i="310"/>
  <c r="N79" i="310"/>
  <c r="N97" i="310"/>
  <c r="O79" i="310"/>
  <c r="O97" i="310"/>
  <c r="P79" i="310"/>
  <c r="P97" i="310"/>
  <c r="Q79" i="310"/>
  <c r="Q97" i="310"/>
  <c r="R79" i="310"/>
  <c r="R97" i="310"/>
  <c r="S79" i="310"/>
  <c r="S97" i="310"/>
  <c r="T79" i="310"/>
  <c r="T97" i="310"/>
  <c r="U79" i="310"/>
  <c r="U97" i="310"/>
  <c r="V79" i="310"/>
  <c r="V97" i="310"/>
  <c r="W79" i="310"/>
  <c r="W97" i="310"/>
  <c r="X79" i="310"/>
  <c r="X97" i="310"/>
  <c r="Y79" i="310"/>
  <c r="Y97" i="310"/>
  <c r="Z79" i="310"/>
  <c r="Z97" i="310"/>
  <c r="AA79" i="310"/>
  <c r="AA97" i="310"/>
  <c r="AB79" i="310"/>
  <c r="AB97" i="310"/>
  <c r="AC79" i="310"/>
  <c r="AC97" i="310"/>
  <c r="AD79" i="310"/>
  <c r="AD97" i="310"/>
  <c r="AE79" i="310"/>
  <c r="AE97" i="310"/>
  <c r="AF79" i="310"/>
  <c r="AF97" i="310"/>
  <c r="AG79" i="310"/>
  <c r="AG97" i="310"/>
  <c r="AH79" i="310"/>
  <c r="AH97" i="310"/>
  <c r="AI79" i="310"/>
  <c r="AI97" i="310"/>
  <c r="AJ79" i="310"/>
  <c r="AJ97" i="310"/>
  <c r="AK79" i="310"/>
  <c r="AK97" i="310"/>
  <c r="AL79" i="310"/>
  <c r="AL97" i="310"/>
  <c r="AM79" i="310"/>
  <c r="AM97" i="310"/>
  <c r="AN79" i="310"/>
  <c r="AN97" i="310"/>
  <c r="AO79" i="310"/>
  <c r="AO97" i="310"/>
  <c r="AP79" i="310"/>
  <c r="AP97" i="310"/>
  <c r="AQ79" i="310"/>
  <c r="AQ97" i="310"/>
  <c r="N105" i="310"/>
  <c r="O105" i="310"/>
  <c r="P105" i="310"/>
  <c r="Q105" i="310"/>
  <c r="R105" i="310"/>
  <c r="S105" i="310"/>
  <c r="T105" i="310"/>
  <c r="U105" i="310"/>
  <c r="V105" i="310"/>
  <c r="W105" i="310"/>
  <c r="X105" i="310"/>
  <c r="Y105" i="310"/>
  <c r="Z105" i="310"/>
  <c r="AA105" i="310"/>
  <c r="AB105" i="310"/>
  <c r="AC105" i="310"/>
  <c r="AD105" i="310"/>
  <c r="AE105" i="310"/>
  <c r="AF105" i="310"/>
  <c r="AG105" i="310"/>
  <c r="AH105" i="310"/>
  <c r="AI105" i="310"/>
  <c r="AJ105" i="310"/>
  <c r="AK105" i="310"/>
  <c r="AL105" i="310"/>
  <c r="AM105" i="310"/>
  <c r="AN105" i="310"/>
  <c r="AO105" i="310"/>
  <c r="AP105" i="310"/>
  <c r="AQ105" i="310"/>
  <c r="N115" i="310"/>
  <c r="N136" i="310"/>
  <c r="O115" i="310"/>
  <c r="O136" i="310"/>
  <c r="P115" i="310"/>
  <c r="P136" i="310"/>
  <c r="Q115" i="310"/>
  <c r="Q136" i="310"/>
  <c r="R115" i="310"/>
  <c r="R136" i="310"/>
  <c r="S115" i="310"/>
  <c r="S136" i="310"/>
  <c r="T115" i="310"/>
  <c r="T136" i="310"/>
  <c r="U115" i="310"/>
  <c r="U136" i="310"/>
  <c r="V115" i="310"/>
  <c r="V136" i="310"/>
  <c r="W115" i="310"/>
  <c r="W136" i="310"/>
  <c r="X115" i="310"/>
  <c r="X136" i="310"/>
  <c r="Y115" i="310"/>
  <c r="Y136" i="310"/>
  <c r="Z115" i="310"/>
  <c r="Z136" i="310"/>
  <c r="AA115" i="310"/>
  <c r="AA136" i="310"/>
  <c r="AB115" i="310"/>
  <c r="AB136" i="310"/>
  <c r="AC115" i="310"/>
  <c r="AC136" i="310"/>
  <c r="AD115" i="310"/>
  <c r="AD136" i="310"/>
  <c r="AE115" i="310"/>
  <c r="AE136" i="310"/>
  <c r="AF115" i="310"/>
  <c r="AF136" i="310"/>
  <c r="AG115" i="310"/>
  <c r="AG136" i="310"/>
  <c r="AH115" i="310"/>
  <c r="AH136" i="310"/>
  <c r="AI115" i="310"/>
  <c r="AI136" i="310"/>
  <c r="AJ115" i="310"/>
  <c r="AJ136" i="310"/>
  <c r="AK115" i="310"/>
  <c r="AK136" i="310"/>
  <c r="AL115" i="310"/>
  <c r="AL136" i="310"/>
  <c r="AM115" i="310"/>
  <c r="AM136" i="310"/>
  <c r="AN115" i="310"/>
  <c r="AN136" i="310"/>
  <c r="AO115" i="310"/>
  <c r="AO136" i="310"/>
  <c r="AP115" i="310"/>
  <c r="AP136" i="310"/>
  <c r="AQ115" i="310"/>
  <c r="AQ136" i="310"/>
  <c r="N116" i="310"/>
  <c r="O116" i="310"/>
  <c r="P116" i="310"/>
  <c r="Q116" i="310"/>
  <c r="R116" i="310"/>
  <c r="S116" i="310"/>
  <c r="T116" i="310"/>
  <c r="U116" i="310"/>
  <c r="V116" i="310"/>
  <c r="W116" i="310"/>
  <c r="X116" i="310"/>
  <c r="Y116" i="310"/>
  <c r="Z116" i="310"/>
  <c r="AA116" i="310"/>
  <c r="AB116" i="310"/>
  <c r="AC116" i="310"/>
  <c r="AD116" i="310"/>
  <c r="AE116" i="310"/>
  <c r="AF116" i="310"/>
  <c r="AG116" i="310"/>
  <c r="AH116" i="310"/>
  <c r="AI116" i="310"/>
  <c r="AJ116" i="310"/>
  <c r="AK116" i="310"/>
  <c r="AL116" i="310"/>
  <c r="AM116" i="310"/>
  <c r="AN116" i="310"/>
  <c r="AO116" i="310"/>
  <c r="AP116" i="310"/>
  <c r="AQ116" i="310"/>
  <c r="AB119" i="310"/>
  <c r="AC120" i="310"/>
  <c r="AA119" i="310"/>
  <c r="AB120" i="310"/>
  <c r="Z119" i="310"/>
  <c r="AA120" i="310"/>
  <c r="Y119" i="310"/>
  <c r="Z120" i="310"/>
  <c r="X119" i="310"/>
  <c r="Y120" i="310"/>
  <c r="W119" i="310"/>
  <c r="X120" i="310"/>
  <c r="V119" i="310"/>
  <c r="W120" i="310"/>
  <c r="U119" i="310"/>
  <c r="V120" i="310"/>
  <c r="T119" i="310"/>
  <c r="U120" i="310"/>
  <c r="S119" i="310"/>
  <c r="T120" i="310"/>
  <c r="R119" i="310"/>
  <c r="S120" i="310"/>
  <c r="Q119" i="310"/>
  <c r="R120" i="310"/>
  <c r="P119" i="310"/>
  <c r="Q120" i="310"/>
  <c r="O119" i="310"/>
  <c r="N119" i="310"/>
  <c r="N120" i="310"/>
  <c r="N121" i="310"/>
  <c r="O120" i="310"/>
  <c r="N130" i="310"/>
  <c r="AQ119" i="310"/>
  <c r="AP119" i="310"/>
  <c r="AQ120" i="310"/>
  <c r="AO119" i="310"/>
  <c r="AP120" i="310"/>
  <c r="AN119" i="310"/>
  <c r="AO120" i="310"/>
  <c r="AM119" i="310"/>
  <c r="AN120" i="310"/>
  <c r="AL119" i="310"/>
  <c r="AM120" i="310"/>
  <c r="AK119" i="310"/>
  <c r="AL120" i="310"/>
  <c r="AJ119" i="310"/>
  <c r="AK120" i="310"/>
  <c r="AI119" i="310"/>
  <c r="AJ120" i="310"/>
  <c r="AH119" i="310"/>
  <c r="AI120" i="310"/>
  <c r="AG119" i="310"/>
  <c r="AH120" i="310"/>
  <c r="AF119" i="310"/>
  <c r="AG120" i="310"/>
  <c r="AE119" i="310"/>
  <c r="AF120" i="310"/>
  <c r="AD119" i="310"/>
  <c r="AE120" i="310"/>
  <c r="AC119" i="310"/>
  <c r="AD120" i="310"/>
  <c r="N124" i="310"/>
  <c r="N122" i="310"/>
  <c r="O118" i="310"/>
  <c r="O121" i="310"/>
  <c r="P120" i="310"/>
  <c r="N125" i="310"/>
  <c r="N128" i="310"/>
  <c r="N126" i="310"/>
  <c r="N129" i="310"/>
  <c r="O130" i="310"/>
  <c r="N132" i="310"/>
  <c r="N137" i="310"/>
  <c r="N140" i="310"/>
  <c r="O124" i="310"/>
  <c r="O122" i="310"/>
  <c r="P118" i="310"/>
  <c r="P121" i="310"/>
  <c r="O125" i="310"/>
  <c r="O128" i="310"/>
  <c r="O126" i="310"/>
  <c r="O129" i="310"/>
  <c r="P130" i="310"/>
  <c r="N141" i="310"/>
  <c r="N146" i="310"/>
  <c r="N147" i="310"/>
  <c r="N148" i="310"/>
  <c r="O132" i="310"/>
  <c r="O137" i="310"/>
  <c r="O140" i="310"/>
  <c r="P124" i="310"/>
  <c r="P122" i="310"/>
  <c r="Q118" i="310"/>
  <c r="Q121" i="310"/>
  <c r="P125" i="310"/>
  <c r="P128" i="310"/>
  <c r="P126" i="310"/>
  <c r="P129" i="310"/>
  <c r="Q130" i="310"/>
  <c r="O141" i="310"/>
  <c r="O146" i="310"/>
  <c r="O147" i="310"/>
  <c r="O148" i="310"/>
  <c r="P132" i="310"/>
  <c r="P137" i="310"/>
  <c r="P140" i="310"/>
  <c r="Q124" i="310"/>
  <c r="Q122" i="310"/>
  <c r="R118" i="310"/>
  <c r="R121" i="310"/>
  <c r="Q125" i="310"/>
  <c r="Q128" i="310"/>
  <c r="Q126" i="310"/>
  <c r="Q129" i="310"/>
  <c r="R130" i="310"/>
  <c r="P141" i="310"/>
  <c r="P146" i="310"/>
  <c r="P147" i="310"/>
  <c r="P148" i="310"/>
  <c r="Q132" i="310"/>
  <c r="Q137" i="310"/>
  <c r="Q140" i="310"/>
  <c r="R124" i="310"/>
  <c r="R122" i="310"/>
  <c r="S118" i="310"/>
  <c r="S121" i="310"/>
  <c r="R125" i="310"/>
  <c r="R128" i="310"/>
  <c r="R126" i="310"/>
  <c r="R129" i="310"/>
  <c r="S130" i="310"/>
  <c r="Q141" i="310"/>
  <c r="Q146" i="310"/>
  <c r="Q147" i="310"/>
  <c r="Q148" i="310"/>
  <c r="R132" i="310"/>
  <c r="R137" i="310"/>
  <c r="R140" i="310"/>
  <c r="S124" i="310"/>
  <c r="S122" i="310"/>
  <c r="T118" i="310"/>
  <c r="T121" i="310"/>
  <c r="S125" i="310"/>
  <c r="S128" i="310"/>
  <c r="S126" i="310"/>
  <c r="S129" i="310"/>
  <c r="T130" i="310"/>
  <c r="R141" i="310"/>
  <c r="R146" i="310"/>
  <c r="R147" i="310"/>
  <c r="R148" i="310"/>
  <c r="S132" i="310"/>
  <c r="S137" i="310"/>
  <c r="S140" i="310"/>
  <c r="T124" i="310"/>
  <c r="T122" i="310"/>
  <c r="U118" i="310"/>
  <c r="U121" i="310"/>
  <c r="T125" i="310"/>
  <c r="T128" i="310"/>
  <c r="T126" i="310"/>
  <c r="T129" i="310"/>
  <c r="U130" i="310"/>
  <c r="S141" i="310"/>
  <c r="S146" i="310"/>
  <c r="S147" i="310"/>
  <c r="S148" i="310"/>
  <c r="T132" i="310"/>
  <c r="T137" i="310"/>
  <c r="T140" i="310"/>
  <c r="U124" i="310"/>
  <c r="U122" i="310"/>
  <c r="V118" i="310"/>
  <c r="V121" i="310"/>
  <c r="U125" i="310"/>
  <c r="U128" i="310"/>
  <c r="U126" i="310"/>
  <c r="U129" i="310"/>
  <c r="V130" i="310"/>
  <c r="T141" i="310"/>
  <c r="T146" i="310"/>
  <c r="T147" i="310"/>
  <c r="T148" i="310"/>
  <c r="U132" i="310"/>
  <c r="U137" i="310"/>
  <c r="U140" i="310"/>
  <c r="V124" i="310"/>
  <c r="V122" i="310"/>
  <c r="W118" i="310"/>
  <c r="W121" i="310"/>
  <c r="V125" i="310"/>
  <c r="V128" i="310"/>
  <c r="V126" i="310"/>
  <c r="V129" i="310"/>
  <c r="W130" i="310"/>
  <c r="U141" i="310"/>
  <c r="U146" i="310"/>
  <c r="U147" i="310"/>
  <c r="U148" i="310"/>
  <c r="V132" i="310"/>
  <c r="V137" i="310"/>
  <c r="V140" i="310"/>
  <c r="W124" i="310"/>
  <c r="W122" i="310"/>
  <c r="X118" i="310"/>
  <c r="X121" i="310"/>
  <c r="W125" i="310"/>
  <c r="W128" i="310"/>
  <c r="W126" i="310"/>
  <c r="W129" i="310"/>
  <c r="X130" i="310"/>
  <c r="V141" i="310"/>
  <c r="V146" i="310"/>
  <c r="V147" i="310"/>
  <c r="V148" i="310"/>
  <c r="W132" i="310"/>
  <c r="W137" i="310"/>
  <c r="W140" i="310"/>
  <c r="X124" i="310"/>
  <c r="X122" i="310"/>
  <c r="Y118" i="310"/>
  <c r="Y121" i="310"/>
  <c r="X125" i="310"/>
  <c r="X128" i="310"/>
  <c r="X126" i="310"/>
  <c r="X129" i="310"/>
  <c r="Y130" i="310"/>
  <c r="W141" i="310"/>
  <c r="W146" i="310"/>
  <c r="W147" i="310"/>
  <c r="W148" i="310"/>
  <c r="X132" i="310"/>
  <c r="X137" i="310"/>
  <c r="X140" i="310"/>
  <c r="Y124" i="310"/>
  <c r="Y122" i="310"/>
  <c r="Z118" i="310"/>
  <c r="Z121" i="310"/>
  <c r="Y125" i="310"/>
  <c r="Y128" i="310"/>
  <c r="Y126" i="310"/>
  <c r="Y129" i="310"/>
  <c r="Z130" i="310"/>
  <c r="X141" i="310"/>
  <c r="X146" i="310"/>
  <c r="X147" i="310"/>
  <c r="X148" i="310"/>
  <c r="Y132" i="310"/>
  <c r="Y137" i="310"/>
  <c r="Y140" i="310"/>
  <c r="Z124" i="310"/>
  <c r="Z122" i="310"/>
  <c r="AA118" i="310"/>
  <c r="AA121" i="310"/>
  <c r="Z125" i="310"/>
  <c r="Z128" i="310"/>
  <c r="Z126" i="310"/>
  <c r="Z129" i="310"/>
  <c r="AA130" i="310"/>
  <c r="Y141" i="310"/>
  <c r="Y146" i="310"/>
  <c r="Y147" i="310"/>
  <c r="Y148" i="310"/>
  <c r="Z132" i="310"/>
  <c r="Z137" i="310"/>
  <c r="Z140" i="310"/>
  <c r="AA124" i="310"/>
  <c r="AA122" i="310"/>
  <c r="AB118" i="310"/>
  <c r="AB121" i="310"/>
  <c r="AA125" i="310"/>
  <c r="AA128" i="310"/>
  <c r="AA126" i="310"/>
  <c r="AA129" i="310"/>
  <c r="AB130" i="310"/>
  <c r="Z141" i="310"/>
  <c r="Z146" i="310"/>
  <c r="Z147" i="310"/>
  <c r="Z148" i="310"/>
  <c r="AA132" i="310"/>
  <c r="AA137" i="310"/>
  <c r="AA140" i="310"/>
  <c r="AB124" i="310"/>
  <c r="AB122" i="310"/>
  <c r="AC118" i="310"/>
  <c r="AC121" i="310"/>
  <c r="AB125" i="310"/>
  <c r="AB128" i="310"/>
  <c r="AB126" i="310"/>
  <c r="AB129" i="310"/>
  <c r="AC130" i="310"/>
  <c r="AA141" i="310"/>
  <c r="AA146" i="310"/>
  <c r="AA147" i="310"/>
  <c r="AA148" i="310"/>
  <c r="AB132" i="310"/>
  <c r="AB137" i="310"/>
  <c r="AB140" i="310"/>
  <c r="AC124" i="310"/>
  <c r="AC122" i="310"/>
  <c r="AD118" i="310"/>
  <c r="AD121" i="310"/>
  <c r="AC125" i="310"/>
  <c r="AC128" i="310"/>
  <c r="AC126" i="310"/>
  <c r="AC129" i="310"/>
  <c r="AD130" i="310"/>
  <c r="AB141" i="310"/>
  <c r="AB146" i="310"/>
  <c r="AB147" i="310"/>
  <c r="AB148" i="310"/>
  <c r="AC132" i="310"/>
  <c r="AC137" i="310"/>
  <c r="AC140" i="310"/>
  <c r="AD124" i="310"/>
  <c r="AD122" i="310"/>
  <c r="AE118" i="310"/>
  <c r="AE121" i="310"/>
  <c r="AD125" i="310"/>
  <c r="AD128" i="310"/>
  <c r="AD126" i="310"/>
  <c r="AD129" i="310"/>
  <c r="AE130" i="310"/>
  <c r="AC141" i="310"/>
  <c r="AC146" i="310"/>
  <c r="AC147" i="310"/>
  <c r="AC148" i="310"/>
  <c r="AD132" i="310"/>
  <c r="AD137" i="310"/>
  <c r="AD140" i="310"/>
  <c r="AE124" i="310"/>
  <c r="AE122" i="310"/>
  <c r="AF118" i="310"/>
  <c r="AF121" i="310"/>
  <c r="AE125" i="310"/>
  <c r="AE128" i="310"/>
  <c r="AE126" i="310"/>
  <c r="AE129" i="310"/>
  <c r="AF130" i="310"/>
  <c r="AD141" i="310"/>
  <c r="AD146" i="310"/>
  <c r="AD147" i="310"/>
  <c r="AD148" i="310"/>
  <c r="AE132" i="310"/>
  <c r="AE137" i="310"/>
  <c r="AE140" i="310"/>
  <c r="AF124" i="310"/>
  <c r="AF122" i="310"/>
  <c r="AG118" i="310"/>
  <c r="AG121" i="310"/>
  <c r="AF125" i="310"/>
  <c r="AF128" i="310"/>
  <c r="AF126" i="310"/>
  <c r="AF129" i="310"/>
  <c r="AG130" i="310"/>
  <c r="AE141" i="310"/>
  <c r="AE146" i="310"/>
  <c r="AE147" i="310"/>
  <c r="AE148" i="310"/>
  <c r="AF132" i="310"/>
  <c r="AF137" i="310"/>
  <c r="AF140" i="310"/>
  <c r="AG124" i="310"/>
  <c r="AG122" i="310"/>
  <c r="AH118" i="310"/>
  <c r="AH121" i="310"/>
  <c r="AG125" i="310"/>
  <c r="AG128" i="310"/>
  <c r="AG126" i="310"/>
  <c r="AG129" i="310"/>
  <c r="AH130" i="310"/>
  <c r="AF141" i="310"/>
  <c r="AF146" i="310"/>
  <c r="AF147" i="310"/>
  <c r="AF148" i="310"/>
  <c r="AG132" i="310"/>
  <c r="AG137" i="310"/>
  <c r="AG140" i="310"/>
  <c r="AH124" i="310"/>
  <c r="AH122" i="310"/>
  <c r="AI118" i="310"/>
  <c r="AI121" i="310"/>
  <c r="AH125" i="310"/>
  <c r="AH128" i="310"/>
  <c r="AH126" i="310"/>
  <c r="AH129" i="310"/>
  <c r="AI130" i="310"/>
  <c r="AG141" i="310"/>
  <c r="AG146" i="310"/>
  <c r="AG147" i="310"/>
  <c r="AG148" i="310"/>
  <c r="AH132" i="310"/>
  <c r="AH137" i="310"/>
  <c r="AH140" i="310"/>
  <c r="AI124" i="310"/>
  <c r="AI122" i="310"/>
  <c r="AJ118" i="310"/>
  <c r="AJ121" i="310"/>
  <c r="AI125" i="310"/>
  <c r="AI128" i="310"/>
  <c r="AI126" i="310"/>
  <c r="AI129" i="310"/>
  <c r="AJ130" i="310"/>
  <c r="AH141" i="310"/>
  <c r="AH146" i="310"/>
  <c r="AH147" i="310"/>
  <c r="AH148" i="310"/>
  <c r="AI132" i="310"/>
  <c r="AI137" i="310"/>
  <c r="AI140" i="310"/>
  <c r="AJ124" i="310"/>
  <c r="AJ122" i="310"/>
  <c r="AK118" i="310"/>
  <c r="AK121" i="310"/>
  <c r="AJ125" i="310"/>
  <c r="AJ128" i="310"/>
  <c r="AJ126" i="310"/>
  <c r="AJ129" i="310"/>
  <c r="AK130" i="310"/>
  <c r="AI141" i="310"/>
  <c r="AI146" i="310"/>
  <c r="AI147" i="310"/>
  <c r="AI148" i="310"/>
  <c r="AJ132" i="310"/>
  <c r="AJ137" i="310"/>
  <c r="AJ140" i="310"/>
  <c r="AK124" i="310"/>
  <c r="AK122" i="310"/>
  <c r="AL118" i="310"/>
  <c r="AL121" i="310"/>
  <c r="AK125" i="310"/>
  <c r="AK128" i="310"/>
  <c r="AK126" i="310"/>
  <c r="AK129" i="310"/>
  <c r="AL130" i="310"/>
  <c r="AJ141" i="310"/>
  <c r="AJ146" i="310"/>
  <c r="AJ147" i="310"/>
  <c r="AJ148" i="310"/>
  <c r="AK132" i="310"/>
  <c r="AK137" i="310"/>
  <c r="AK140" i="310"/>
  <c r="AL124" i="310"/>
  <c r="AL122" i="310"/>
  <c r="AM118" i="310"/>
  <c r="AM121" i="310"/>
  <c r="AL125" i="310"/>
  <c r="AL128" i="310"/>
  <c r="AL126" i="310"/>
  <c r="AL129" i="310"/>
  <c r="AM130" i="310"/>
  <c r="AK141" i="310"/>
  <c r="AK146" i="310"/>
  <c r="AK147" i="310"/>
  <c r="AK148" i="310"/>
  <c r="AL132" i="310"/>
  <c r="AL137" i="310"/>
  <c r="AL140" i="310"/>
  <c r="AM124" i="310"/>
  <c r="AM122" i="310"/>
  <c r="AN118" i="310"/>
  <c r="AN121" i="310"/>
  <c r="AM125" i="310"/>
  <c r="AM128" i="310"/>
  <c r="AM126" i="310"/>
  <c r="AM129" i="310"/>
  <c r="AN130" i="310"/>
  <c r="AL141" i="310"/>
  <c r="AL146" i="310"/>
  <c r="AL147" i="310"/>
  <c r="AL148" i="310"/>
  <c r="AM132" i="310"/>
  <c r="AM137" i="310"/>
  <c r="AM140" i="310"/>
  <c r="AN124" i="310"/>
  <c r="AN122" i="310"/>
  <c r="AO118" i="310"/>
  <c r="AO121" i="310"/>
  <c r="AN125" i="310"/>
  <c r="AN128" i="310"/>
  <c r="AN126" i="310"/>
  <c r="AN129" i="310"/>
  <c r="AO130" i="310"/>
  <c r="AM141" i="310"/>
  <c r="AM146" i="310"/>
  <c r="AM147" i="310"/>
  <c r="AM148" i="310"/>
  <c r="AN132" i="310"/>
  <c r="AN137" i="310"/>
  <c r="AN140" i="310"/>
  <c r="AO124" i="310"/>
  <c r="AO122" i="310"/>
  <c r="AP118" i="310"/>
  <c r="AP121" i="310"/>
  <c r="AO125" i="310"/>
  <c r="AO128" i="310"/>
  <c r="AO126" i="310"/>
  <c r="AO129" i="310"/>
  <c r="AP130" i="310"/>
  <c r="AN141" i="310"/>
  <c r="AN146" i="310"/>
  <c r="AN147" i="310"/>
  <c r="AN148" i="310"/>
  <c r="AO132" i="310"/>
  <c r="AO137" i="310"/>
  <c r="AO140" i="310"/>
  <c r="AP124" i="310"/>
  <c r="AP122" i="310"/>
  <c r="AQ118" i="310"/>
  <c r="AQ121" i="310"/>
  <c r="AP125" i="310"/>
  <c r="AP128" i="310"/>
  <c r="AP126" i="310"/>
  <c r="AP129" i="310"/>
  <c r="AQ130" i="310"/>
  <c r="AO141" i="310"/>
  <c r="AO146" i="310"/>
  <c r="AO147" i="310"/>
  <c r="AO148" i="310"/>
  <c r="AP132" i="310"/>
  <c r="AP137" i="310"/>
  <c r="AP140" i="310"/>
  <c r="AQ124" i="310"/>
  <c r="AQ122" i="310"/>
  <c r="AQ125" i="310"/>
  <c r="AQ128" i="310"/>
  <c r="AQ126" i="310"/>
  <c r="AQ129" i="310"/>
  <c r="AP141" i="310"/>
  <c r="AP146" i="310"/>
  <c r="AP147" i="310"/>
  <c r="AP148" i="310"/>
  <c r="AQ132" i="310"/>
  <c r="AQ137" i="310"/>
  <c r="AQ140" i="310"/>
  <c r="AQ141" i="310"/>
  <c r="AQ146" i="310"/>
  <c r="AQ147" i="310"/>
  <c r="AQ148" i="310"/>
  <c r="H148" i="310"/>
  <c r="Q154" i="214"/>
  <c r="P183" i="214"/>
  <c r="P182" i="214"/>
  <c r="P154" i="214"/>
  <c r="M2" i="188"/>
  <c r="Q174" i="214"/>
  <c r="Q178" i="214"/>
  <c r="Q182" i="214"/>
  <c r="P2" i="188"/>
  <c r="Q189" i="214"/>
  <c r="D7" i="93"/>
  <c r="Q192" i="214"/>
  <c r="B12" i="93"/>
  <c r="F7" i="93"/>
  <c r="B19" i="93"/>
  <c r="C19" i="93"/>
</calcChain>
</file>

<file path=xl/sharedStrings.xml><?xml version="1.0" encoding="utf-8"?>
<sst xmlns="http://schemas.openxmlformats.org/spreadsheetml/2006/main" count="806" uniqueCount="612">
  <si>
    <t>Financiering</t>
  </si>
  <si>
    <t>Naam</t>
  </si>
  <si>
    <t>Titel:</t>
  </si>
  <si>
    <t>Titel van het project:</t>
  </si>
  <si>
    <t>Looptijd van het project:</t>
  </si>
  <si>
    <t>Totaal</t>
  </si>
  <si>
    <t>Projectnummer:</t>
  </si>
  <si>
    <t>startdatum project:</t>
  </si>
  <si>
    <t>einddatum project:</t>
  </si>
  <si>
    <t>Onderdeel A: Totale investeringskosten</t>
  </si>
  <si>
    <t>totaal</t>
  </si>
  <si>
    <t>Project</t>
  </si>
  <si>
    <t>Dossier</t>
  </si>
  <si>
    <t>Activiteittype</t>
  </si>
  <si>
    <t>Titel project</t>
  </si>
  <si>
    <t>Functie</t>
  </si>
  <si>
    <t>Omschrijving kosten</t>
  </si>
  <si>
    <t>Vast uurtatief van € 60,00</t>
  </si>
  <si>
    <t>Let op!</t>
  </si>
  <si>
    <t>Projectkosten</t>
  </si>
  <si>
    <t>Projectoverzicht</t>
  </si>
  <si>
    <t>Toelichting</t>
  </si>
  <si>
    <t>De onderstaande tabel wordt automatisch gevuld uit de andere werkbladen.</t>
  </si>
  <si>
    <t xml:space="preserve">Voor meer informatie: </t>
  </si>
  <si>
    <t>Voor het invullen van onderstaande (geel gearceerde) velden wordt u verzocht eerst de toelichting te lezen.</t>
  </si>
  <si>
    <t>Gebruikte loonsystematiek</t>
  </si>
  <si>
    <t>Actor-ID</t>
  </si>
  <si>
    <t>Nog te financieren</t>
  </si>
  <si>
    <t>Organisatietype</t>
  </si>
  <si>
    <t>Einddatum mijlpaal</t>
  </si>
  <si>
    <t>Mijlpalenbegroting</t>
  </si>
  <si>
    <t>periode mijlpaal 1</t>
  </si>
  <si>
    <t>periode mijlpaal 2</t>
  </si>
  <si>
    <t>periode mijlpaal 3</t>
  </si>
  <si>
    <t>periode mijlpaal 4</t>
  </si>
  <si>
    <t>Ruimte voor toelichting</t>
  </si>
  <si>
    <t>periode mijlpaal 5</t>
  </si>
  <si>
    <t>Lijstnaam = Organisatietype</t>
  </si>
  <si>
    <t>Startdatum mijlpaal</t>
  </si>
  <si>
    <t>Aanvrager</t>
  </si>
  <si>
    <t>Lijstnaam = BTW</t>
  </si>
  <si>
    <t>Toelichting 'Financiering'</t>
  </si>
  <si>
    <t>Algemeen</t>
  </si>
  <si>
    <t>jaar</t>
  </si>
  <si>
    <t>Organisatienaam</t>
  </si>
  <si>
    <t>Overig</t>
  </si>
  <si>
    <t>Bedrag (€)</t>
  </si>
  <si>
    <t>Grote onderneming</t>
  </si>
  <si>
    <t>Middelgrote onderneming</t>
  </si>
  <si>
    <t>Kleine onderneming</t>
  </si>
  <si>
    <t>Handelsnaam derde</t>
  </si>
  <si>
    <t>Voor u begint</t>
  </si>
  <si>
    <t>Uitleg gele tabbladen</t>
  </si>
  <si>
    <t>Meer informatie</t>
  </si>
  <si>
    <t>Algemene Groepsvrijstellingsverordering</t>
  </si>
  <si>
    <t>Praktische informatie over de regeling vindt u op:</t>
  </si>
  <si>
    <t>Algemene Groepsvrijstellingsverordering:</t>
  </si>
  <si>
    <t>Thema:</t>
  </si>
  <si>
    <t>[Dit veld wordt door RVO ingevuld]</t>
  </si>
  <si>
    <t>Resultaat mijlpalen</t>
  </si>
  <si>
    <t>Beschrijf hieronder kort per mijlpaal in wat het te behalen resultaat is:</t>
  </si>
  <si>
    <t>periode mijlpaal 6</t>
  </si>
  <si>
    <t>periode mijlpaal 7</t>
  </si>
  <si>
    <t>periode mijlpaal 8</t>
  </si>
  <si>
    <t>LET OP: Deze lijsten worden op diverse tabbladen gebruikt in formules! Niet zomaar aanpassen of verplaatsen!</t>
  </si>
  <si>
    <t>Deze datums dienen overeen te komen met de datums op uw aanvraagformulier!</t>
  </si>
  <si>
    <t>&lt;maak een keuze&gt;</t>
  </si>
  <si>
    <t xml:space="preserve">Uurtarief € </t>
  </si>
  <si>
    <t>Aantal uur in gebruik</t>
  </si>
  <si>
    <t xml:space="preserve">Gevraagde subsidie </t>
  </si>
  <si>
    <t>A. Investeringskosten</t>
  </si>
  <si>
    <t>Mijlpaal 1</t>
  </si>
  <si>
    <t>Mijlpaal 2</t>
  </si>
  <si>
    <t>Mijlpaal 3</t>
  </si>
  <si>
    <t>Mijlpaal 4</t>
  </si>
  <si>
    <t>Mijlpaal 5</t>
  </si>
  <si>
    <t>Mijlpaal 6</t>
  </si>
  <si>
    <t>Mijlpaal 7</t>
  </si>
  <si>
    <t>Mijlpaal 8</t>
  </si>
  <si>
    <t>Model Begroting Warmtenetten Investerings Subsidie (WIS)</t>
  </si>
  <si>
    <t>Lijstnaam = Fase</t>
  </si>
  <si>
    <t>Toelichting en verwijzing naar document.</t>
  </si>
  <si>
    <t>of later door RVO ingevuld.</t>
  </si>
  <si>
    <t xml:space="preserve">Op de gele tabbladen zijn de velden die u zelf kunt invullen geel gemarkeerd. Blauwe velden zijn eveneens informatief en worden automatisch </t>
  </si>
  <si>
    <t>Type project</t>
  </si>
  <si>
    <t xml:space="preserve">Als u van de opgevoerde kosten de betaalde btw in aftrek kunt brengen dan wel kan terugvorderen van de fiscus, dan vormt de btw géén subsidiabele </t>
  </si>
  <si>
    <t>kostenpost. Kunt u de btw niet in aftrek brengen bij de fiscus, dan mag u de kosten inclusief betaalde btw opvoeren en is de btw wél een subsidiabele</t>
  </si>
  <si>
    <t>juiste antwoord te selecteren), zodat hier geen misverstand over kan ontstaan.</t>
  </si>
  <si>
    <t>omdat investeringssteun bedoeld is voor investeringen die ook ná het project blijven bestaan.</t>
  </si>
  <si>
    <t>Subsidiabele kosten €</t>
  </si>
  <si>
    <t>Investering in primaire netten</t>
  </si>
  <si>
    <t>Investeringen in secundaire netten</t>
  </si>
  <si>
    <t>Investeringen in aansluitingen</t>
  </si>
  <si>
    <t>Aan derden verschuldigde kosten</t>
  </si>
  <si>
    <t>Onderbouwing</t>
  </si>
  <si>
    <t>Maximale subsidie op basis van subsidiabele kosten</t>
  </si>
  <si>
    <t>Maximale subsidie op basis van 45% grens</t>
  </si>
  <si>
    <t>Maximale subsidie op basis van aantal aansluitingen</t>
  </si>
  <si>
    <t>periode mijlpaal 9</t>
  </si>
  <si>
    <t>periode mijlpaal 10</t>
  </si>
  <si>
    <t>groepen in- en uitklappen werkt in beveiligde bladen, maar dan moet wel 'kolommen opmaken' en 'rijen opmaken' aangevinkt zijn!</t>
  </si>
  <si>
    <t>aantal aansluitingen:</t>
  </si>
  <si>
    <t>Loonkosten</t>
  </si>
  <si>
    <t xml:space="preserve">Toelichting </t>
  </si>
  <si>
    <t>Investering kosten</t>
  </si>
  <si>
    <t>aantal aansluitingen</t>
  </si>
  <si>
    <r>
      <rPr>
        <b/>
        <sz val="9"/>
        <color indexed="8"/>
        <rFont val="Verdana"/>
        <family val="2"/>
      </rPr>
      <t>Project</t>
    </r>
    <r>
      <rPr>
        <sz val="9"/>
        <color indexed="8"/>
        <rFont val="Verdana"/>
        <family val="2"/>
      </rPr>
      <t>: Dit tabblad moet altijd als eerste ingevuld worden.</t>
    </r>
  </si>
  <si>
    <t>btw</t>
  </si>
  <si>
    <t xml:space="preserve">Onder kosten derden vallen de directe projectkosten, waarvoor u facturen van anderen ontvangt en in uw administratie bewaart. </t>
  </si>
  <si>
    <t>geleverde materialen of diensten.</t>
  </si>
  <si>
    <t xml:space="preserve">Loonkosten </t>
  </si>
  <si>
    <t>In het projectplan vult u in welke activiteiten verricht worden per mijlpaal en wanneer (qua activiteiten) de mijlpaal bereikt is.</t>
  </si>
  <si>
    <t xml:space="preserve">Het aantal mijlpalen staat niet vast en hoeft niet gelijk te lopen aan de kwartalen van een jaar. </t>
  </si>
  <si>
    <t>Naam mijlpaal: …..</t>
  </si>
  <si>
    <t>Naam mijlpaal: …...</t>
  </si>
  <si>
    <t>btw-plichtig</t>
  </si>
  <si>
    <t>btw-vrijgesteld</t>
  </si>
  <si>
    <t xml:space="preserve">kostenpost. U dient in de begroting achter het kopje btw expliciet aan te geven hoe u de kosten opvoert (door het </t>
  </si>
  <si>
    <t xml:space="preserve">Kaderwet </t>
  </si>
  <si>
    <t>wetten.nl - Regeling - Kaderwet nationale EZK- en LNV-subsidies - BWBR0007919</t>
  </si>
  <si>
    <t xml:space="preserve">Let op! Het kan zijn dat dit bedrag in mindering wordt gebracht op de subsidie en deze niet volledig wordt meegerekend bij de financiering van het eigen aandeel, zie onderstaande toelichting. </t>
  </si>
  <si>
    <t>Mijlpaal 9</t>
  </si>
  <si>
    <t>Mijlpaal 10</t>
  </si>
  <si>
    <t xml:space="preserve">U voert uitsluitend loonkosten op die u activeert op de balans. </t>
  </si>
  <si>
    <t>Naam aanvrager</t>
  </si>
  <si>
    <t>Gegevens aanvrager:</t>
  </si>
  <si>
    <t>Geef op het tabblad financiering aan hoe u dit deel financieren</t>
  </si>
  <si>
    <t xml:space="preserve">en de voorschotten dienen aan te sluiten op het moment dat de kosten gemaakt worden. </t>
  </si>
  <si>
    <t>Naam mijlpaal: bijvoorbeeld investeringsbeslissing</t>
  </si>
  <si>
    <t>Naam mijlpaal: bijvoorbeeld opdrachtverstrekking realisatie</t>
  </si>
  <si>
    <t xml:space="preserve">Het kan bijvoorbeeld gaan om kosten voor uitbesteding van een deel van het project, om kosten van het inlenen van personeel of om kosten van voor in het project </t>
  </si>
  <si>
    <t xml:space="preserve">Hierbij geeft u de in aanmerking komende investeringskosten op en daarna wordt daar de exploitatiewinst gedurende de economische levensduur (30 jaar) van afgetrokken. </t>
  </si>
  <si>
    <t>Welke kosten komen in aanmerking?</t>
  </si>
  <si>
    <t>• Aansluitleidingen: het stelsel van leidingen dat het transport van warmte verzorgt van regelstation of afleverstation tot aan de afleverset in het gebouw.</t>
  </si>
  <si>
    <t>Indien andere subsidie is verstrekt voor hetzelfde project of een deel daarvan, dan dient u dit op te voeren in de begroting. In het projectplan</t>
  </si>
  <si>
    <t>kunt u aangeven welke subsidie(s) het betreft en hier een toelichting op geven. RVO zal tijdens de beoordeling van uw aanvraag</t>
  </si>
  <si>
    <t xml:space="preserve">U wordt gevraagd om mijlpalen te beschrijven, omdat de kosten niet gelijkmatig over de looptijd van het project zijn verdeeld </t>
  </si>
  <si>
    <t xml:space="preserve">Het gaat hier om kosten buiten de daadwerkelijke realisatie van het warmtenet, deze dienen in de hierboven genoemde posten opgenomen te worden. </t>
  </si>
  <si>
    <t>Mijlpaal</t>
  </si>
  <si>
    <t xml:space="preserve">Het stelsel van leidingen dat het transport van warmte verzorgt vanaf de onderstations tot de ‘aansluiting’ zoals gedefinieerd in de warmtewet. </t>
  </si>
  <si>
    <t>A. De totale investeringen</t>
  </si>
  <si>
    <t>Onrendabele top</t>
  </si>
  <si>
    <t>B. Onrendabele top</t>
  </si>
  <si>
    <t>Totaal verstrekte of ontvangen subsidies</t>
  </si>
  <si>
    <t>Subsidiabele investering €</t>
  </si>
  <si>
    <t>Vermogen totaal (kW)</t>
  </si>
  <si>
    <t>Verdeling subsidiabel vs. niet-subsidiabel</t>
  </si>
  <si>
    <t>Beschrijving investering primair net</t>
  </si>
  <si>
    <t>Totaal investeringen primaire netten</t>
  </si>
  <si>
    <t>Totaal investeringen onderstations</t>
  </si>
  <si>
    <t>Overdrachtstation</t>
  </si>
  <si>
    <t>Totaal investeringen secundaire netten</t>
  </si>
  <si>
    <t>Beschrijving investering onderstation</t>
  </si>
  <si>
    <t>Beschrijving investering secundair net</t>
  </si>
  <si>
    <t>Kosten per aansluiting kleinverbruik</t>
  </si>
  <si>
    <t>Totaal loonkosten</t>
  </si>
  <si>
    <t>Totaal aan derden verschuldigde kosten</t>
  </si>
  <si>
    <t>Totale subsidiabele investeringskosten</t>
  </si>
  <si>
    <t xml:space="preserve">Onderdeel D: Berekening subsidie </t>
  </si>
  <si>
    <t>Gevraagde subsidie WIS</t>
  </si>
  <si>
    <t>D. Berekende maximale steun</t>
  </si>
  <si>
    <t xml:space="preserve">D. Maximale subsidie WIS </t>
  </si>
  <si>
    <t>Segment VO</t>
  </si>
  <si>
    <t>Segment in VO</t>
  </si>
  <si>
    <t>Aantal</t>
  </si>
  <si>
    <t>Onderdeel B: Onrendabele top subsidiabele kosten</t>
  </si>
  <si>
    <t>Subsidiabel</t>
  </si>
  <si>
    <t>Aantal aansluitingen kleinverbruik bestaande bouw</t>
  </si>
  <si>
    <t>Totaal investeringen kleinverbruikers aansluitingen</t>
  </si>
  <si>
    <t>Kaderbesluit</t>
  </si>
  <si>
    <t>wetten.nl - Regeling - Kaderbesluit nationale EZK- en LNV-subsidies - BWBR0024796 (overheid.nl)</t>
  </si>
  <si>
    <t>de Regeling</t>
  </si>
  <si>
    <t xml:space="preserve">Voor het invullen van subsidiabele investeringskosten en de gevraagde subsidie is voor de aanvrager het tabblad 'Begroting' beschikbaar.  </t>
  </si>
  <si>
    <t>Uitsluitend de volgende methodiek is geaccepteerd:</t>
  </si>
  <si>
    <t>Loonkosten die niet te activeren zijn en rechtstreeks in de winst- en verliesrekening verantwoord worden vallen</t>
  </si>
  <si>
    <t>Subsidiespelregels ministerie van Economische Zaken en Klimaat | RVO.nl</t>
  </si>
  <si>
    <t>Reeds verstrekte/ verwachte steun door bestuursorganen of Europese Commissie</t>
  </si>
  <si>
    <r>
      <rPr>
        <b/>
        <sz val="9"/>
        <rFont val="Verdana"/>
        <family val="2"/>
      </rPr>
      <t xml:space="preserve">Vast uurtarief van € 60 </t>
    </r>
    <r>
      <rPr>
        <sz val="9"/>
        <rFont val="Verdana"/>
        <family val="2"/>
      </rPr>
      <t xml:space="preserve">(artikel 14 van het Kaderbesluit Nationale EZK- en LNV-subsidies). </t>
    </r>
  </si>
  <si>
    <t>Investeringen in overdrachtstations</t>
  </si>
  <si>
    <t>• Individuele afleverset</t>
  </si>
  <si>
    <t>Verstrekte of ontvangen steun/ subsidie</t>
  </si>
  <si>
    <t>Onderdeel C: Verstrekte of ontvangen steun / subsidie</t>
  </si>
  <si>
    <t>Niet-subsidiabel</t>
  </si>
  <si>
    <t>C. Verstrekte of ontvangen steun/ subsidie</t>
  </si>
  <si>
    <t>Onderdeel E: Financiering van het project</t>
  </si>
  <si>
    <t>Ruimte voor toelichting onderdeel A t/m E</t>
  </si>
  <si>
    <t xml:space="preserve">Terreinen of gebouwen waarvan de verwerving (of anderszins in gebruik verkrijging) noodzakelijk is voor de realisatie van het project voert u op bij de verschillende </t>
  </si>
  <si>
    <t>Zie ook de Subsidiespelregels EZK.</t>
  </si>
  <si>
    <t xml:space="preserve">het project of dat het project pas veel later van start gaat is dan te groot. </t>
  </si>
  <si>
    <t xml:space="preserve">1.    Eigen middelen/ eigen vermogen: de deelnemer heeft voldoende financiële middelen en/ of inkomsten om het project te financieren. </t>
  </si>
  <si>
    <t>2.    Lening en/ of investering: de deelnemer heeft definitieve toezeggingen van lening en/ of investering waarmee het project kan worden gefinancierd.</t>
  </si>
  <si>
    <t>3.    Subsidieverstrekkingen van andere bestuursorganen zoals gemeenten, provincies of de Europese commissie: een cumulatie - samenloop subsidies (stapeling)</t>
  </si>
  <si>
    <t xml:space="preserve">                   is meestal maar beperkt mogelijk door cumulatie- of uitsluitingsbepaling. Aantoonbaar door een beslissing op betreffende subsidieaanvraag. </t>
  </si>
  <si>
    <t xml:space="preserve">                   Heeft u deze nog niet? Stuur dan een kopie van het aanvraagformulier. </t>
  </si>
  <si>
    <t xml:space="preserve">4.    Financiering van niet-overheden: een (cash) bijdrage van een derde in de vorm van sponsoring is onder bepaalde voorwaarden toegestaan. </t>
  </si>
  <si>
    <t xml:space="preserve">Wij wijzen een aanvraag af als er onvoldoende vertrouwen is dat u het project kan financieren. De kans op mislukking van de uitvoering van  </t>
  </si>
  <si>
    <t xml:space="preserve">nagaan of en hoe deze subsidie cumuleert met de in deze aanvraag gevraagde subsidie. </t>
  </si>
  <si>
    <t>Vermogen 
t.b.v. niet-subsidiabele investering</t>
  </si>
  <si>
    <t>Vermogen 
t.b.v. subsidiabele investering</t>
  </si>
  <si>
    <t>Opbrengst/
subsidie/steun</t>
  </si>
  <si>
    <t>onrendabele top</t>
  </si>
  <si>
    <t>Verstrekte of ontvangen steun / subsidie</t>
  </si>
  <si>
    <t>grondgebonden woningen</t>
  </si>
  <si>
    <t>gestapelde woningen</t>
  </si>
  <si>
    <t>Lijstnaam = SrtWoning</t>
  </si>
  <si>
    <t>Indexatie</t>
  </si>
  <si>
    <t>Eenheid</t>
  </si>
  <si>
    <t>Waarde</t>
  </si>
  <si>
    <t>€/GJ</t>
  </si>
  <si>
    <t>Variabele component ZLT-warmte</t>
  </si>
  <si>
    <t>MAX. DEFAULT WAARDE</t>
  </si>
  <si>
    <t>Inkoopprijzen</t>
  </si>
  <si>
    <t>Opmerkingen</t>
  </si>
  <si>
    <t>Inkoop</t>
  </si>
  <si>
    <t>excl BTW</t>
  </si>
  <si>
    <t>€/jaar/#</t>
  </si>
  <si>
    <t>Administratieve lasten</t>
  </si>
  <si>
    <t>OPEX Overig</t>
  </si>
  <si>
    <t>% van capex</t>
  </si>
  <si>
    <t>Onderhoudskosten aansluitingen, afleversets en meetapparatuur</t>
  </si>
  <si>
    <t>OPEX bij de aansluiting</t>
  </si>
  <si>
    <t>Onderhoudskosten overdrachtstations</t>
  </si>
  <si>
    <t>OPEX Overdrachtstations</t>
  </si>
  <si>
    <t>Onderhoudskosten warmtenetten - leidingen</t>
  </si>
  <si>
    <t>OPEX leidingen</t>
  </si>
  <si>
    <t>Kosteninvoer OPEX</t>
  </si>
  <si>
    <t>CAPEX Overig</t>
  </si>
  <si>
    <t>€/stuk</t>
  </si>
  <si>
    <t>Aansluitingen gestapelde woning</t>
  </si>
  <si>
    <t>Aansluitingen grondgebonden woning</t>
  </si>
  <si>
    <t>CAPEX bij de aansluiting</t>
  </si>
  <si>
    <t>[#]</t>
  </si>
  <si>
    <t>aantal overdrachtstations</t>
  </si>
  <si>
    <t>Kosten overdrachtstations</t>
  </si>
  <si>
    <t>CAPEX overdrachtstations</t>
  </si>
  <si>
    <t>Kosten aanleg secundaire leidingnetten</t>
  </si>
  <si>
    <t>CAPEX  Secundaire Leidingnetten (toelichting)</t>
  </si>
  <si>
    <t>Kosten aanleg primaire leidingnetten</t>
  </si>
  <si>
    <t>CAPEX Primaire Leidingnetten (toelichting)</t>
  </si>
  <si>
    <t>Kosteninvoer CAPEX</t>
  </si>
  <si>
    <t>FASERING INVESTERINGEN</t>
  </si>
  <si>
    <t>[€/GJ]</t>
  </si>
  <si>
    <t>Marge inkomsten minus productie kleinverbruik</t>
  </si>
  <si>
    <t>[€/jr]</t>
  </si>
  <si>
    <t>Vergoeding afleverstation</t>
  </si>
  <si>
    <t>Vastrecht + Meettarief</t>
  </si>
  <si>
    <t>[€/#]</t>
  </si>
  <si>
    <t>Aansluitbijdrage individuele kleinverbruikers</t>
  </si>
  <si>
    <t>Inkomsten uit individueel kleinverbruik aansluitingen</t>
  </si>
  <si>
    <t>Tarieven en eenmalige bijdragen</t>
  </si>
  <si>
    <t>%</t>
  </si>
  <si>
    <t>Discontovoet</t>
  </si>
  <si>
    <t>[%/jr]</t>
  </si>
  <si>
    <t>Percentuele warmtevraagreductie</t>
  </si>
  <si>
    <t>Autonome warmtevraag reductie</t>
  </si>
  <si>
    <t>Verrekening binnen project</t>
  </si>
  <si>
    <t>Volledige belastingverrekening of verliesverrekening binnen project</t>
  </si>
  <si>
    <t>Winstgrens laag tarief</t>
  </si>
  <si>
    <t>factor</t>
  </si>
  <si>
    <t>Vennootschapsbelasting (hoog tarief)</t>
  </si>
  <si>
    <t>Vennootschapsbelasting (laag tarief)</t>
  </si>
  <si>
    <t>Belastingen</t>
  </si>
  <si>
    <t>Keuze</t>
  </si>
  <si>
    <t>HT / MT</t>
  </si>
  <si>
    <t>Temperatuur aflevering (MT/HT, LT, ZLT)</t>
  </si>
  <si>
    <t>Aflevertemperatuur</t>
  </si>
  <si>
    <t>Geen</t>
  </si>
  <si>
    <t>LEES DE HANDLEIDING VOOR GEBRUIK MODEL</t>
  </si>
  <si>
    <t>Bedrag per kW</t>
  </si>
  <si>
    <t>Volledige verrekening</t>
  </si>
  <si>
    <t>Vast bedrag</t>
  </si>
  <si>
    <t>Fasering en Herinvestering warmtewisselaar / afleversets gestapeld</t>
  </si>
  <si>
    <t>Fasering en Herinvestering warmtewisselaar / afleversets grondgebonden</t>
  </si>
  <si>
    <t>Berekeningen Fasering &amp; Herinvesteringen</t>
  </si>
  <si>
    <t>[jaar]</t>
  </si>
  <si>
    <t>Econ. levensduur warmtewisselaar / afleversets / meter gestapeld</t>
  </si>
  <si>
    <t>Econ. levensduur warmtewisselaar / afleversets / meter grondgebonden</t>
  </si>
  <si>
    <t>Econ. levensduur aansluiting gestapeld</t>
  </si>
  <si>
    <t>Econ. levensduur aansluiting grondgebonden</t>
  </si>
  <si>
    <t>Aansluiting</t>
  </si>
  <si>
    <t>Econ. levensduur en fasering overdrachtstations</t>
  </si>
  <si>
    <t>Onderstations</t>
  </si>
  <si>
    <t>Econ. levensduur en fasering secundaire netten</t>
  </si>
  <si>
    <t>Econ. levensduur en fasering primaire netten</t>
  </si>
  <si>
    <t>Netten</t>
  </si>
  <si>
    <t>Eenmalige bijdragen</t>
  </si>
  <si>
    <t>Check</t>
  </si>
  <si>
    <t>Afwijking default</t>
  </si>
  <si>
    <t>Bron</t>
  </si>
  <si>
    <t>Default</t>
  </si>
  <si>
    <t>Fasering CAPEX</t>
  </si>
  <si>
    <t>FASERING &amp; ECONOMISCHE LEVENSDUUR</t>
  </si>
  <si>
    <t>[GJ]</t>
  </si>
  <si>
    <t>Warmteverbruik gestapeld</t>
  </si>
  <si>
    <t>Aantal aansluitingen gestapeld (cumulatief)</t>
  </si>
  <si>
    <t>Totaal gestapeld:</t>
  </si>
  <si>
    <t>Aantal aansluitingen gestapeld</t>
  </si>
  <si>
    <t>Gestapeld</t>
  </si>
  <si>
    <t>Warmteverbruik grondgebonden</t>
  </si>
  <si>
    <t>Aantal aansluitingen grondgebonden (cumulatief)</t>
  </si>
  <si>
    <t>Totaal grondgebonden:</t>
  </si>
  <si>
    <t>Aantal aansluitingen grondgebonden</t>
  </si>
  <si>
    <t>Grondgebonden</t>
  </si>
  <si>
    <t>[GJ/woning/jr]</t>
  </si>
  <si>
    <t>[%]</t>
  </si>
  <si>
    <t>Warmteverbruik</t>
  </si>
  <si>
    <t>Participatiegraad</t>
  </si>
  <si>
    <t>Omschrijving</t>
  </si>
  <si>
    <t>Gestapelde aansluitingen</t>
  </si>
  <si>
    <t>Grondgebonden aansluitingen</t>
  </si>
  <si>
    <t>(Vul een waarde in tussen 60% en 100%)</t>
  </si>
  <si>
    <t>FASERING INDIVIDUEEL KLEINVERBRUIK</t>
  </si>
  <si>
    <t>berekend</t>
  </si>
  <si>
    <t>Aantal aansluiting op basis van aansluitsnelheid of handmatig</t>
  </si>
  <si>
    <t>Exploitatieduur</t>
  </si>
  <si>
    <t>[jaartal]</t>
  </si>
  <si>
    <t>Timing</t>
  </si>
  <si>
    <t>Gekozen waarde</t>
  </si>
  <si>
    <t>TIMING</t>
  </si>
  <si>
    <t>Verschil investering - exploitatiewinst vóór belastingen</t>
  </si>
  <si>
    <t>Netto contante waarde 30 jaar exploitatie (exclusief subsidie)</t>
  </si>
  <si>
    <t>BEREKENING VERSCHIL INVESTERING - EXPLOITATIEWINST</t>
  </si>
  <si>
    <t>Cumulatieve kasstroom</t>
  </si>
  <si>
    <t>Kasstroom</t>
  </si>
  <si>
    <t>KASSTROOMOVERZICHT</t>
  </si>
  <si>
    <t>Terugvordering carry back</t>
  </si>
  <si>
    <t>Belasting (hoog tarief)</t>
  </si>
  <si>
    <t>Belasting (laag tarief)</t>
  </si>
  <si>
    <t>Belastbare winst (hoog tarief)</t>
  </si>
  <si>
    <t>Belastbare winst (laag tarief)</t>
  </si>
  <si>
    <t>Belastbare winst</t>
  </si>
  <si>
    <t>Balans verrekenbare verliezen (nieuw)</t>
  </si>
  <si>
    <t>Verliezen gebruikt (carry forward)</t>
  </si>
  <si>
    <t>Verliezen gebruikt (carry back)</t>
  </si>
  <si>
    <t>Verliezen toegevoegd</t>
  </si>
  <si>
    <t>Balans verrekenbare verliezen (oud)</t>
  </si>
  <si>
    <t>EBIT</t>
  </si>
  <si>
    <t>EBITDA</t>
  </si>
  <si>
    <t>BELASTING</t>
  </si>
  <si>
    <t>Totaal opbrengsten klanten</t>
  </si>
  <si>
    <t>Totaal inkomsten marge warmteverbruik gestapeld</t>
  </si>
  <si>
    <t>Totaal inkomsten vastrecht, meettarief en afleverstation gestapeld</t>
  </si>
  <si>
    <t>Totaal inkomsten marge warmteverbruik grondgebonden</t>
  </si>
  <si>
    <t>Totaal inkomsten vastrecht, meettarief en afleverstation grondgebonden</t>
  </si>
  <si>
    <t>OPBRENGSTEN KLANTEN</t>
  </si>
  <si>
    <t>KOSTEN ZLT-BRON</t>
  </si>
  <si>
    <t>Totaal onderhoud en beheer</t>
  </si>
  <si>
    <t>Totaal administratieve lasten</t>
  </si>
  <si>
    <t>Totaal onderhoudskosten afleversets en meetapparatuur</t>
  </si>
  <si>
    <t>per #</t>
  </si>
  <si>
    <t>Onderhoudskosten afleversets en meetapparatuur</t>
  </si>
  <si>
    <t>Totaal onderhoudskosten aansluitingen</t>
  </si>
  <si>
    <t>Totaal onderhoudskosten warmtenetten - onderstations</t>
  </si>
  <si>
    <t>Totaal onderhoudskosten warmtenetten - leidingen</t>
  </si>
  <si>
    <t>ONDERHOUD EN BEHEER</t>
  </si>
  <si>
    <t>Totaal afschrijvingen</t>
  </si>
  <si>
    <t>Afschrijving afleversets</t>
  </si>
  <si>
    <t>Einde levensduur</t>
  </si>
  <si>
    <t xml:space="preserve">Totaal CAPEX met afschrijving 15 jr (afleversets) </t>
  </si>
  <si>
    <t>Afschrijving primair, secundair net, onderstations, aansluiting</t>
  </si>
  <si>
    <t xml:space="preserve">Totaal CAPEX met afschrijving 30 jr (primair, secundair net, onderstations, aansluiting) </t>
  </si>
  <si>
    <t>AFSCHRIJVING (gebruik t.b.v. berekening belasting)</t>
  </si>
  <si>
    <t>Totaal CAPEX</t>
  </si>
  <si>
    <t>Totaal Capex warmtewisselaar  /afleversets / meter gestapeld</t>
  </si>
  <si>
    <t>Totaal Capex warmtewisselaar  /afleversets / meter grondgebonden</t>
  </si>
  <si>
    <t>Totaal Capex aansluiting gestapeld</t>
  </si>
  <si>
    <t>Totaal Capex aansluiting grondgebonden</t>
  </si>
  <si>
    <t>Totaal Capex onderstations</t>
  </si>
  <si>
    <t>Totaal Capex Secundaire netten</t>
  </si>
  <si>
    <t>Totaal Capex Primaire netten</t>
  </si>
  <si>
    <t>CAPEX</t>
  </si>
  <si>
    <t>Counter</t>
  </si>
  <si>
    <t>Financial year ending</t>
  </si>
  <si>
    <t>REKENOVERZICHT</t>
  </si>
  <si>
    <t>REKENMODEL BUSINESS CASE WARMTENETTEN - REKENOVERZICHT</t>
  </si>
  <si>
    <t>ZLT</t>
  </si>
  <si>
    <t>LT</t>
  </si>
  <si>
    <t>Kosten bron</t>
  </si>
  <si>
    <t>Marge</t>
  </si>
  <si>
    <t>Huur afleverset</t>
  </si>
  <si>
    <t>Vastrecht + meettarief</t>
  </si>
  <si>
    <t>Meettarief</t>
  </si>
  <si>
    <t>Vastrecht</t>
  </si>
  <si>
    <t>ACM 2023</t>
  </si>
  <si>
    <t>&lt;€1.000.000/km</t>
  </si>
  <si>
    <t>Gemiddelde investering per strekkende kilometer primair net, d.w.z. het net vanaf de bron tot het overdrachtstation. Het gaat om het totaal voor de aanvoer- én de retourleiding.</t>
  </si>
  <si>
    <t>Secundaire warmtenet</t>
  </si>
  <si>
    <t>&lt;€780.000/km</t>
  </si>
  <si>
    <t>Gemiddelde investering per strekkende kilometer secundair net, d.w.z. het net vanaf het overdrachtstation door de straat. Het gaat om het totaal voor de aanvoer- én de retourleiding.</t>
  </si>
  <si>
    <t>&lt;€100.000</t>
  </si>
  <si>
    <t>Per stuk</t>
  </si>
  <si>
    <t>Grondgebonden  aansluiting</t>
  </si>
  <si>
    <t>&lt;€3.800</t>
  </si>
  <si>
    <t>Gemiddeld per aansluiting, inclusief aansluitleiding vanaf het secundaire warmtenet in de straat tot de afleverset.</t>
  </si>
  <si>
    <t>Aansluiting in de gestapelde bouw</t>
  </si>
  <si>
    <t>&lt;€2.100</t>
  </si>
  <si>
    <t>Gemiddeld per aansluiting</t>
  </si>
  <si>
    <t>Investering afleverset</t>
  </si>
  <si>
    <t>&lt;€977</t>
  </si>
  <si>
    <t xml:space="preserve">Hogere kosten dan de hieronder genoemde kosten per onderdeel zijn alleen toegestaan met een degelijke onderbouwing in het projectplan. </t>
  </si>
  <si>
    <t>gewogen grondgebonden</t>
  </si>
  <si>
    <t>gewogen gestapeld</t>
  </si>
  <si>
    <t>Indexatie Capex</t>
  </si>
  <si>
    <t>Indexatie OPEX</t>
  </si>
  <si>
    <t>Primaire warmtenet</t>
  </si>
  <si>
    <t>€</t>
  </si>
  <si>
    <t>Loonkosten en kosten derden</t>
  </si>
  <si>
    <t>Kosten afgifteset per stuk</t>
  </si>
  <si>
    <t xml:space="preserve">Kosten warmtewisselaar / afleversets + meter gestapelde.w. </t>
  </si>
  <si>
    <t>Econ.levensduur</t>
  </si>
  <si>
    <t>Totaal loonkosten en kosten derden</t>
  </si>
  <si>
    <t>loonkosten en kosten derden</t>
  </si>
  <si>
    <t>Waarbij per onderdeel van het warmtenet geldt dat:</t>
  </si>
  <si>
    <t xml:space="preserve">  Ka: zijn de in aanmerking komende subsidiabele investeringskosten van dat onderdeel.</t>
  </si>
  <si>
    <t xml:space="preserve">  Pkv: is het benodigde vermogen voor de warmtelevering aan kleinverbruikers dat via dat onderdeel geleverd wordt.</t>
  </si>
  <si>
    <t xml:space="preserve">  Pbv: is het benodigde vermogen voor de warmtelevering aan blokaansluitingen dat via dat onderdeel geleverd wordt.</t>
  </si>
  <si>
    <t xml:space="preserve">  Po: is het benodigde vermogen voor de warmtelevering aan grootverbruikers en / of nieuwbouw dat via dat onderdeel geleverd wordt.</t>
  </si>
  <si>
    <t xml:space="preserve">  Kt: zijn de totale kosten van dat onderdeel. </t>
  </si>
  <si>
    <t xml:space="preserve">2. In geval van een gecombineerd project waarbij een nieuw efficiënt warmtenet wordt aangelegd ten behoeve van zowel kleinverbruik-aansluitingen in </t>
  </si>
  <si>
    <t>1. Voor subsidie komen de investeringskosten, bedoeld in artikel 46, vijfde lid, van de algemene groepsvrijstellingsverordening in aanmerking:</t>
  </si>
  <si>
    <t xml:space="preserve">    Investeringen in het warmtenet ten behoeve van levering van warmte aan kleinverbruikers in de bestaande bouw;</t>
  </si>
  <si>
    <t xml:space="preserve">    Investeringen in het warmtenet tot een blokaansluiting.  </t>
  </si>
  <si>
    <t xml:space="preserve">Het primaire net is het stelsel van leidingen tussen de bron en het secundaire net, óf in geval van een warmtetransportleiding tussen de warmtretransportleiding </t>
  </si>
  <si>
    <t xml:space="preserve">en het secundaire net. Bij de investeringen in deze categorie worden alle kosten voor de realisatie van dit netdeel meegenomen.  </t>
  </si>
  <si>
    <t xml:space="preserve">Een overdrachtstation is een installatie met of zonder warmtewisselaar die warmte overdraagt van het ene netdeel naar het volgende. Meestal is dit een </t>
  </si>
  <si>
    <t xml:space="preserve">overdrachtstation tussen primair en secundair net. </t>
  </si>
  <si>
    <t>Kosten voor grond voor het overdrachtstation moeten in deze categorie worden meegenomen.</t>
  </si>
  <si>
    <t xml:space="preserve">Als er in een overdrachtstation ook installaties zijn voor piek-backup of voor temperatuurverhoging (centrale warmtepomp) dan zijn deze installaties niet-subsidiabel. </t>
  </si>
  <si>
    <t xml:space="preserve">Als een groot deel van het gebouw of de grond gebruikt wordt voor deze installaties dan moet hier een verrekening op plaatsvinden. </t>
  </si>
  <si>
    <t>Dit document is opgebouwd uit gele en blauwe tabbladen. Op de gele tabbladen kunnen gegevens worden ingevuld, de blauwe tabbladen zijn informatief.</t>
  </si>
  <si>
    <r>
      <t>Welke investeringskosten krijgt u niet vergoed?</t>
    </r>
    <r>
      <rPr>
        <sz val="9"/>
        <color rgb="FF000000"/>
        <rFont val="Verdana"/>
        <family val="2"/>
      </rPr>
      <t> </t>
    </r>
    <r>
      <rPr>
        <b/>
        <sz val="9"/>
        <color rgb="FF000000"/>
        <rFont val="Verdana"/>
        <family val="2"/>
      </rPr>
      <t xml:space="preserve"> </t>
    </r>
  </si>
  <si>
    <t xml:space="preserve">Als projectkosten worden uitsluitend de kostenposten in aanmerking genomen die in deze mijlpalenbegroting zijn opgenomen. </t>
  </si>
  <si>
    <t>Voer alleen kosten op die:</t>
  </si>
  <si>
    <t>De volgende kosten zijn in ieder geval niet-subsidiabel:</t>
  </si>
  <si>
    <t xml:space="preserve">U ontvangt 100% subsidie voor de onrendabele top. Dat is het deel van uw project dat zich niet terugverdient. Met andere woorden, het verschil tussen de investeringskosten </t>
  </si>
  <si>
    <t>die in aanmerking komen en de exploitatiewinst. Daarbij geldt dat:</t>
  </si>
  <si>
    <t xml:space="preserve">Als een provincie, gemeente of andere overheid subsidie verleent aan het project voor dezelfde kosten, noemen we dat samenloop (cumulatie) van subsidies. </t>
  </si>
  <si>
    <t xml:space="preserve">Het beoordelen van deze subsidie vraagt maatwerk per project. Geef bij uw subsidieaanvraag aan welke andere subsidies u ontvangt of verwacht te ontvangen. </t>
  </si>
  <si>
    <t xml:space="preserve">Er kunnen zich meerderde situaties voordoen. U kunt dit nalezen in de handlelding onder hoofdstuk 6.4. </t>
  </si>
  <si>
    <t xml:space="preserve">Dit heeft bij de vaststelling van de definitieve WIS na afloop van het project, wel effect. Het belastingvoordeel zorgt voor een lagere netto investering. </t>
  </si>
  <si>
    <t xml:space="preserve">De EIA wordt (bijna) altijd later aangevraagd dan de WIS. Daarom houden we bij verlening van de WIS geen rekening met een eventuele EIA-aanvraag. </t>
  </si>
  <si>
    <t xml:space="preserve">op de subsidiabele kosten. Het betreft het EIA-voordeel dat u tot en met de einddatum van het project krijgt. </t>
  </si>
  <si>
    <t xml:space="preserve">Bij de EIA-aanvraag brengen we alleen definitief vastgestelde subsidies in mindering op het investeringsbedrag. </t>
  </si>
  <si>
    <t xml:space="preserve">RVO beoordeelt de door u opgegeven gegevens en bepaalt de subsidiehoogte. </t>
  </si>
  <si>
    <t xml:space="preserve">Onder loonkosten worden kosten opgenomen van medewerkers die in dienst zijn van de onderneming die investeert in het warmtenet. Huurt u iemand in dan neemt u die op </t>
  </si>
  <si>
    <t>onder kosten derden. De loonkosten moeten berekend worden volgens de door de regeling geaccepteerde methodiek.</t>
  </si>
  <si>
    <t>Vul hier alleen de investeringen in de kleinverbruikers-aansluitingen ten behoeve van bestaande bouw. Het gaat hier om een combinatie van:</t>
  </si>
  <si>
    <t xml:space="preserve">Let op: gegevens moeten herleidbaar zijn, corresponderend met andere stukken, en u dient alles in te vullen. </t>
  </si>
  <si>
    <r>
      <rPr>
        <b/>
        <sz val="9"/>
        <color indexed="8"/>
        <rFont val="Verdana"/>
        <family val="2"/>
      </rPr>
      <t>Mijlpalenbegroting</t>
    </r>
    <r>
      <rPr>
        <sz val="9"/>
        <color indexed="8"/>
        <rFont val="Verdana"/>
        <family val="2"/>
      </rPr>
      <t xml:space="preserve">: dit tabblad is verplicht vanuit de regeling gesteld omdat sprake is van een mijlpalenbegroting. </t>
    </r>
  </si>
  <si>
    <t>Eigen bijdrage financiering (Financiering)</t>
  </si>
  <si>
    <t>U geeft in het projectplan aan hoe u de eigen bijdrage gaat financieren. Voor onderbouwing van de financiering stuurt u</t>
  </si>
  <si>
    <t>Op het tabblad ‘Financiering’ vult u de gehele financiering van uw project in.  Dit onderbouwt u in het projectplan, ondersteund door aan te leveren bijlagen.</t>
  </si>
  <si>
    <t>Hierbij geldt dat per kleinverbruikersaansluiting een vermogen van 6 kW wordt gehanteerd. Hier kunt u niet van afwijken.</t>
  </si>
  <si>
    <t xml:space="preserve">Eigen bijdrage financiering (op tabblad projectoverzicht)
U geeft in het projectplan aan hoe elke deelnemer de eigen bijdrage gaat financieren. Voor onderbouwing van de financiering stuurt u bewijsstukken op, zoals een recente jaarrekening of een investeringsovereenkomst. U financiert de eigen bijdrage met bijvoorbeeld:
1. eigen middelen/ eigen vermogen: de deelnemer heeft voldoende financiële middelen en/ of inkomsten om het project te financieren. Aantoonbaar door onder andere een bankafschrift of jaarrekening;
2. lening en/ of investering: de deelnemer heeft definitieve toezeggingen van lening en/ of investering waarmee het project kan worden gefinancierd. Aantoonbaar door een bankverklaring of een verklaring van iemand die u geld leent of samen met u investeert in het project;      
3. subsidieverstrekkingen van andere bestuursorganen zoals gemeenten, provincies of de Europese commissie: een cumulatie - samenloop subsidies (stapeling) is meestal maar beperkt mogelijk door cumulatie- of uitsluitingsbepaling. Aantoonbaar door een beslissing op betreffende subsidieaanvraag. Heeft u deze nog niet? Stuur dan een kopie van het aanvraagformulier. 
4. financiering van niet-overheden: een (cash) bijdrage van een derde in de vorm van sponsoring is onder bepaalde voorwaarden toegestaan.
Wij wijzen een aanvraag af als er onvoldoende vertrouwen is dat u het project kan financieren. De kans op mislukking van de uitvoering van het project of dat het project pas veel later van start gaat is dan te groot.                
</t>
  </si>
  <si>
    <t>Lengte (in kilometers)</t>
  </si>
  <si>
    <t>Aantal aansluitingen blokverwarming bestaande bouw</t>
  </si>
  <si>
    <t xml:space="preserve">Op basis van deze gegevens en bovenstaande berekening, wordt op het tabblad 'Begroting' berekend welke investeringen subsidiabel zijn en welke niet. </t>
  </si>
  <si>
    <t>Subsidiabele investeringen worden overgenomen in het tabblad 'Uitgangspunten', welke input is voor de exploitatieberekening.</t>
  </si>
  <si>
    <t xml:space="preserve">Indien het aantal ingevulde kleinverbruikers-aansluitingen in het tabblad 'Begroting' afwijkt van het aantal aansluitingen in het tabblad 'Aantallen &amp; Fasering' verschijnt </t>
  </si>
  <si>
    <r>
      <rPr>
        <b/>
        <sz val="9"/>
        <color indexed="8"/>
        <rFont val="Verdana"/>
        <family val="2"/>
      </rPr>
      <t>Financiering</t>
    </r>
    <r>
      <rPr>
        <sz val="9"/>
        <color indexed="8"/>
        <rFont val="Verdana"/>
        <family val="2"/>
      </rPr>
      <t>: De gegevens uit het tabblad 'Project' en de begrotingstabbladen verschijnen hier in het blauwe deel. Vul in de gele gedeelten hoe u het</t>
    </r>
  </si>
  <si>
    <t>resterende bedrag financiert.</t>
  </si>
  <si>
    <t>U kunt in het tabblad 'Begroting' in de tabellen de kolom 'Segment VO' gebruiken om de koppeling met andere stukken te maken. U kunt bijvoorbeeld</t>
  </si>
  <si>
    <t xml:space="preserve">in het voorlopig ontwerp (VO) bepaalde leidingen of gebieden coderen en deze code in het tabblad begroting opnemen. </t>
  </si>
  <si>
    <t>De onderbouwing van de gegevens die u in deze excel invult, dient in het projectplan opgenomen te worden, ondersteund door de daarbij gevraagde bijlagen.</t>
  </si>
  <si>
    <r>
      <t>ORT aansluitingen:</t>
    </r>
    <r>
      <rPr>
        <sz val="9"/>
        <rFont val="Verdana"/>
        <family val="2"/>
      </rPr>
      <t xml:space="preserve"> in dit tabblad vult u in hoeveel aansluitingen u voorziet en in welke jaren.</t>
    </r>
  </si>
  <si>
    <r>
      <rPr>
        <b/>
        <sz val="9"/>
        <rFont val="Verdana"/>
        <family val="2"/>
      </rPr>
      <t>Begroting</t>
    </r>
    <r>
      <rPr>
        <sz val="9"/>
        <rFont val="Verdana"/>
        <family val="2"/>
      </rPr>
      <t>: In dit tabblad vult u de investeringskosten in en eventuele overige verkregen subsidies. De onrendabele top wordt automatisch opgenomen</t>
    </r>
  </si>
  <si>
    <t xml:space="preserve">nadat de tabbladen 'ORT uitgangspunten' en 'ORT aansluitingen' zijn ingevuld. </t>
  </si>
  <si>
    <t>in de ORT-berekening worden automatisch overgenomen uit het tabblad 'begroting'.</t>
  </si>
  <si>
    <t xml:space="preserve">Reeds beschikte subsidies voor het warmtenet kunnen in mindering worden gebracht op de door u gevraagde subsidie. </t>
  </si>
  <si>
    <t xml:space="preserve">Onderaan de diverse tabellen op het tabblad 'Begroting' worden de ingevoerde gegevens vergeleken met de defaultwaarden, die zijn opgenomen in de </t>
  </si>
  <si>
    <t>regelingstekst. Indien deze afwijken, verschijnt een opmerking in het tabblad 'Begroting' bij de betreffende tabel. U dient de afwijkende waarde van de defaultwaarde dan</t>
  </si>
  <si>
    <t>te onderbouwen in het projectplan. De default waarden die in het tabblad begroting worden gebruikt zijn hieronder weergegeven:</t>
  </si>
  <si>
    <t xml:space="preserve">onderaan de tabel in tabblad 'Begroting' en melding. De aantallen op deze twee tabbladen dienen gelijk te zijn. </t>
  </si>
  <si>
    <t>kostencategorieën, bijvoorbeeld bij een investering in een onderstation. Maak dit met aparte regels in de begroting van de kostencomponenten zichtbaar.</t>
  </si>
  <si>
    <t>Met 'anderszins in gebruik verkregen' wordt gedoeld op bijvoorbeeld huur, erfpacht, recht van opstal of lease van gronden of gebouwen.</t>
  </si>
  <si>
    <t>Deze kosten dient u op te nemen in de begroting onder 'aan derden verschuldigde kosten'.</t>
  </si>
  <si>
    <t>De onrendabele top wordt berekend op basis van de investeringen in de begroting, en de opgegeven waarden in de tabbladen 'ORT uitgangspunten' en</t>
  </si>
  <si>
    <t>ORT aansluitingen'. De onrendabele top wordt, na invoer van alle benodigde gegevens, automatisch opgenomen in de begroting.</t>
  </si>
  <si>
    <t xml:space="preserve">Hiermee wordt het bedrag van de subsidie bij beschikking bepaald, na aftrek van overige subsidies en toepassing van de maxima uit de regeling. </t>
  </si>
  <si>
    <t>Toelichting: opvoeren van kosten voor gronden en gebouwen</t>
  </si>
  <si>
    <t>Geef dit aan in het tabblad ‘Begroting’. We noemen het samenloop (of ‘cumulatie’ of ‘stapeling van subsidies’) als u vanuit 2</t>
  </si>
  <si>
    <t xml:space="preserve">Omdat het EIA-voordeel wel de investeringskosten van een investeringsproject verlaagt, brengt u het ontvangen EIA-voordeel bij de vaststelling van de WIS in mindering </t>
  </si>
  <si>
    <t>Beschrijving van eerder toegekende subsidies</t>
  </si>
  <si>
    <t>Toelichting tabblad 'begroting'</t>
  </si>
  <si>
    <t>Model exploitatieberekening</t>
  </si>
  <si>
    <t>Projectinformatie</t>
  </si>
  <si>
    <t>Warmtenetten Investeringssubsidie (WIS)</t>
  </si>
  <si>
    <t xml:space="preserve">Dit tabblad is verplicht om in te vullen. Deze mijlpalenbegroting vult zich vanzelf, echter dient u op het tabblad begroting wel per kostenpost aan te geven bij welke mijlpaal deze hoort. </t>
  </si>
  <si>
    <t xml:space="preserve">Hiermee kunt u controleren of de mijlpalenbegroting daarmee overeenkomt. Een exacte aansluiting hoeft niet, omdat bijvoorbeeld een mijlpaal ook tot halverwege een jaar kan lopen. </t>
  </si>
  <si>
    <t>Dit tabblad is verplicht om in te vullen. Alleen de gele velden moeten worden ingevoerd. De overige velden zijn ter informatie.</t>
  </si>
  <si>
    <t>Let op: de fasering van de investeringen wordt opgegeven vanaf kolom P. Hier geeft u aan welk percentage van de investering in</t>
  </si>
  <si>
    <t>welk jaar verwacht wordt. Er is een controlecel opgenomen om te zien of de totale percentages optellen tot 100%.</t>
  </si>
  <si>
    <t xml:space="preserve">ingevoerd. Bij deze netten is in de berekening sprake van een vaste marge tussen inkoop en verkoop. </t>
  </si>
  <si>
    <t>AANSLUITBIJDRAGEN</t>
  </si>
  <si>
    <t>Totaal aansluitbijdragen</t>
  </si>
  <si>
    <t xml:space="preserve">Deze onrendabele top is gebaseerd op een gemiddelde aansluitbijdrage van </t>
  </si>
  <si>
    <t>Let op: als bij vaststelling blijkt dat een hogere aansluitbijdrage is gehanteerd dan kan dat invloed hebben op de hoogte van de subsidie.</t>
  </si>
  <si>
    <t>Startjaar</t>
  </si>
  <si>
    <t xml:space="preserve">en gestapelde woningen met individuele aansluitingen. </t>
  </si>
  <si>
    <t>In dit tabblad vult u in wanneer de aansluitingen gerealiseerd gaan worden. Er is een apart blok voor grondgebonden woningen</t>
  </si>
  <si>
    <t xml:space="preserve">Berekeningen </t>
  </si>
  <si>
    <t>Controle</t>
  </si>
  <si>
    <t>Aantal grondgebonden aansluitingen</t>
  </si>
  <si>
    <t>Cf. begroting</t>
  </si>
  <si>
    <t>Cf. dit tabblad</t>
  </si>
  <si>
    <t>Aantal gestapelde aansluitingen</t>
  </si>
  <si>
    <t>Komt overeen?</t>
  </si>
  <si>
    <t>is weergegeven.</t>
  </si>
  <si>
    <t>Als hulpmiddel is er een tabel weergegeven onder 'Controle' waarin zowel de waarde uit het tabblad begroting als uit dit tabblad</t>
  </si>
  <si>
    <t xml:space="preserve">Per regel kan een omschrijving worden opgegeven, bijvoorbeeld een bepaalde buurt of woningbouwcorporatie. In de </t>
  </si>
  <si>
    <t>omschrijving moet aansluiting worden gezocht bij het projectplan. Per regel kan een warmteverbruik en participatiegraad worden</t>
  </si>
  <si>
    <t>opgegeven. Er wordt in het exploitatiemodel gerekend met de opgegeven aantallen maal de participatiegraad.</t>
  </si>
  <si>
    <t>De uitkomst daarvan moet overeenkomen met het aantal aansluitingen in het tabblad begroting.</t>
  </si>
  <si>
    <t>MODEL EXPLOITATIEBEREKENING - FASERING AANSLUITINGEN</t>
  </si>
  <si>
    <t>MODEL EXPLOITATIEBEREKENING - UITGANGSPUNTEN ORT</t>
  </si>
  <si>
    <t xml:space="preserve">De onrendabele top wordt automatisch berekend als het tabblad begroting, ORT uitgangspunten en ORT aansluitingen volledig zijn ingevuld. </t>
  </si>
  <si>
    <t>MODEL EXPLOITATIEBEREKENING - UITKOMST BEREKENINGEN IN GRAFIEKEN</t>
  </si>
  <si>
    <t>VRIJVAL BAK</t>
  </si>
  <si>
    <t>Vrijval BAK</t>
  </si>
  <si>
    <t>U vult het tabblad 'Begroting' in als u subsidie aanvraagt voor de Warmtenetten Investeringssubsidie (WIS).</t>
  </si>
  <si>
    <t>De subsidie betreft kosten van het warmtenet vanaf de bron (dus excl. de kosten van de bron zelf) tot en met de afleverset voor kleinverbruikers-aansluitingen.</t>
  </si>
  <si>
    <t>Blokaansluitingen doen niet mee in de onrendabele topberekening, omdat de kosten voor de blokaansluiting zelf ook niet in</t>
  </si>
  <si>
    <t xml:space="preserve">aanmerking komen. De inkomsten uit blokaansluitingen worden dus ook niet meegerekend. </t>
  </si>
  <si>
    <t xml:space="preserve">U krijgt dus alleen subsidie over de 'onrendabele top' van uw investering. </t>
  </si>
  <si>
    <t>Een aantal van deze velden zijn de standaardwaarden zoals opgenomen in de regeling. Deze zijn in grijs weergegeven. Door de</t>
  </si>
  <si>
    <t>standaardwaarden wijkt uw werkelijke business case mogelijk af van dit model exploitatieberekening, dat gebruikt wordt om de</t>
  </si>
  <si>
    <t xml:space="preserve">maximale subsidiehoogte te bepalen. </t>
  </si>
  <si>
    <t>Velden in blauw worden overgenomen uit de begroting. Deze zijn ook ter informatie weergegeven.</t>
  </si>
  <si>
    <t>Maximale subsidie op basis van subsidiabele onrendabele top (B-C)</t>
  </si>
  <si>
    <t>Maximale subsidie op basis van maximaal 45% van de totale investeringen</t>
  </si>
  <si>
    <t>Warmtenetten Investerings Subsidie (WIS)</t>
  </si>
  <si>
    <t>C. Verstrekte of ontvangen steun / subsidie</t>
  </si>
  <si>
    <t>Verwachte aansluitbijdragen</t>
  </si>
  <si>
    <t>Ontvangen aansluit-bijdragen</t>
  </si>
  <si>
    <t>Bovenaan een geel tabblad staat een korte toelichting. Voor het tabblad 'begroting' is een apart tabblad 'toelichting begroting' opgesteld.</t>
  </si>
  <si>
    <t>Investeringen in ORT-berekening</t>
  </si>
  <si>
    <t>Onderstaande tabel is een hulpmiddel. Het geeft de investeringen per jaar op basis van de opgegeven fasering van investeringen in het tabblad 'ORT uitgangspunten'.</t>
  </si>
  <si>
    <r>
      <t xml:space="preserve">ORT uitgangspunten: </t>
    </r>
    <r>
      <rPr>
        <sz val="9"/>
        <rFont val="Verdana"/>
        <family val="2"/>
      </rPr>
      <t>in dit tabblad vult u een aantal uitgangspunten in voor de onrendabele topberekening. De investeringen die gebruikt worden</t>
    </r>
  </si>
  <si>
    <t>Raadpleeg voor een uitgebreidere toelichting de regelingstekst, handleiding WIS en het model-projectplan.</t>
  </si>
  <si>
    <r>
      <t>• voor eigen rekening komen van de entiteit waarmee u aanvraagt;</t>
    </r>
    <r>
      <rPr>
        <sz val="9"/>
        <color indexed="8"/>
        <rFont val="Calibri"/>
        <family val="2"/>
      </rPr>
      <t>•</t>
    </r>
  </si>
  <si>
    <t>• kosten die rechtstreeks te maken hebben met de realisatie van het investeringsproject;</t>
  </si>
  <si>
    <r>
      <t xml:space="preserve">• kosten die u </t>
    </r>
    <r>
      <rPr>
        <u/>
        <sz val="9"/>
        <color rgb="FF000000"/>
        <rFont val="Verdana"/>
        <family val="2"/>
      </rPr>
      <t>activeert</t>
    </r>
    <r>
      <rPr>
        <sz val="9"/>
        <color rgb="FF000000"/>
        <rFont val="Verdana"/>
        <family val="2"/>
      </rPr>
      <t xml:space="preserve"> als investering in het warmtenet, bijvoorbeeld ontwerp, projectmanagement en het aanvragen van een vergunning;</t>
    </r>
  </si>
  <si>
    <t>• loonkosten kunt u opvoeren tegen € 60 per uur;</t>
  </si>
  <si>
    <t>• alleen kosten die gemaakt worden tijdens de projectperiode van het project komen voor subsidie in aanmerking.</t>
  </si>
  <si>
    <t xml:space="preserve">Alle kosten dienen per kostencategorie onderbouwd te worden, met kostenramingen en/ of offertes. </t>
  </si>
  <si>
    <t>• warmtenetten voor de industrie, grootverbruikers utiliteit (&gt;100 kW) of glastuinbouw;</t>
  </si>
  <si>
    <t>• warmtenetten voor nieuwbouwwoningen;</t>
  </si>
  <si>
    <t>• warmtebron;</t>
  </si>
  <si>
    <t>• warmteopslag;</t>
  </si>
  <si>
    <t>• warmtepomp;</t>
  </si>
  <si>
    <t>• binnen-installatie(s);</t>
  </si>
  <si>
    <t>• inpandig leidingstelsel.</t>
  </si>
  <si>
    <t>• kosten accountant om de controleverklaring op te stellen;</t>
  </si>
  <si>
    <t xml:space="preserve">• kosten voor (administratief) projectmanagement, opstellen van de rapportages voor RVO, budgettering, escaleren naar stuurgroep, projectbesturing, projectbewaking; </t>
  </si>
  <si>
    <t>• escaleren naar een stuurgroep;</t>
  </si>
  <si>
    <t>• opstellen van een risicomanagementmodel;</t>
  </si>
  <si>
    <t>• opstellen van rapportages om aan subsidieverplichtingen te voldoen;</t>
  </si>
  <si>
    <t>• administratieve verantwoording;</t>
  </si>
  <si>
    <t>• kosten voor het houden van bewonersbijeenkomsten/bewonersparticipatie/marketingkosten;</t>
  </si>
  <si>
    <t>• kosten vóór de indieningsdatum;</t>
  </si>
  <si>
    <t>• financieringskosten;</t>
  </si>
  <si>
    <t>• kosten die u rechtstreeks in de winst- en verliesrekening verantwoordt.</t>
  </si>
  <si>
    <t xml:space="preserve">Een toelichting neemt u op in uw projectplan. </t>
  </si>
  <si>
    <t>bewijsstukken op, zoals een recente jaarrekening of een investeringsovereenkomst. U financiert de eigen bijdrage met bijvoorbeeld:</t>
  </si>
  <si>
    <t xml:space="preserve">                   Aantoonbaar door een bankverklaring of een verklaring van iemand die u geld leent of samen met u investeert in het project.</t>
  </si>
  <si>
    <t xml:space="preserve">                   Dit toont u aan door een financieringsbesluit en de jaarrekening.</t>
  </si>
  <si>
    <t>RVO</t>
  </si>
  <si>
    <t>www.rvo.nl/wis</t>
  </si>
  <si>
    <t>Regeling nationale EZK- en LNV-subsidies: titel 4.10 Warmtenetten Investeringssubsidie</t>
  </si>
  <si>
    <t>Grondgebonden aansluiting</t>
  </si>
  <si>
    <t>Voor blokaansluitingen betreft dit de kosten van het warmtenet tot de aansluitleiding naar blokverwarmingaansluiting.</t>
  </si>
  <si>
    <t>• subsidiebijdrage per kleinverbruikersaansluiting maximaal € 6.000 is.</t>
  </si>
  <si>
    <t>• subsidiebijdrage maximaal 45% van de ‘subsidiabele’ investeringskosten is (de kosten die in aanmerking komen voor subsidie);</t>
  </si>
  <si>
    <t xml:space="preserve">Indien er geen loonkosten worden gemaakt maar niettemin arbeid wordt verricht, € 60 per uur. </t>
  </si>
  <si>
    <t xml:space="preserve">niet onder subsidiabele kosten omdat het geen investeringskosten zijn. </t>
  </si>
  <si>
    <t>Let op! kosten die niet te activeren zijn en rechtstreeks in de winst- en verliesrekening verantwoord worden vallen</t>
  </si>
  <si>
    <t>N.B. Bij huur of lease is slechts het bedrag tijdens de projectduur subsidiabel. Tegelijkertijd moet het wel duidelijk zijn dat het niet om een tijdelijke locatie gaat.</t>
  </si>
  <si>
    <r>
      <t xml:space="preserve">verschillende regelingen of andere overheidsfondsen bijdragen ontvangt voor </t>
    </r>
    <r>
      <rPr>
        <u/>
        <sz val="9"/>
        <rFont val="Verdana"/>
        <family val="2"/>
      </rPr>
      <t>dezelfde investeringskosten</t>
    </r>
    <r>
      <rPr>
        <sz val="9"/>
        <rFont val="Verdana"/>
        <family val="2"/>
      </rPr>
      <t xml:space="preserve">. </t>
    </r>
  </si>
  <si>
    <t xml:space="preserve">U kunt de Energie-investeringsaftrek (EIA) combineren met de WIS. De EIA is een belastingvoordeel en geen subsidie. </t>
  </si>
  <si>
    <t xml:space="preserve">Type organisatie </t>
  </si>
  <si>
    <t>Kosten investering excl. btw</t>
  </si>
  <si>
    <t>Vermogen t.b.v. blokverwarming bestaande bouw</t>
  </si>
  <si>
    <t>Niet-subsidiabele investering</t>
  </si>
  <si>
    <t>&lt; € 3.800</t>
  </si>
  <si>
    <t>&lt; € 1.000.000/km</t>
  </si>
  <si>
    <t>&lt; €  100.000</t>
  </si>
  <si>
    <t>&lt; € 2.100</t>
  </si>
  <si>
    <t>&lt; € 977</t>
  </si>
  <si>
    <t>&lt; €  780.000/km</t>
  </si>
  <si>
    <t xml:space="preserve">De grens die als eerste wordt bereikt (45% van de subsidiabele investeringskosten of € 6.000) is van toepassing. </t>
  </si>
  <si>
    <t xml:space="preserve">Vermogen (kW) t.b.v. kleinverbruik bestaande bouw </t>
  </si>
  <si>
    <t>Vermogen (kW) t.b.v. grootverbruik bestaande bouw</t>
  </si>
  <si>
    <t>Vermogen (kW)
t.b.v. nieuwbouw</t>
  </si>
  <si>
    <t xml:space="preserve">Let op: Het totaal van de investeringskosten moet gelijk zijn aan de totale kosten zoals weergegeven op het tabblad "Begroting". </t>
  </si>
  <si>
    <t xml:space="preserve">Het moet wel bij benadering kloppen afwijkingen moet u kunnen verklaren. </t>
  </si>
  <si>
    <t xml:space="preserve">Als u een geel veld selecteerd verschijnt er (indien van toepassing) meer uitleg over de invoer. </t>
  </si>
  <si>
    <r>
      <t>Het onderwerp 'inkoop warmte' is alleen van toepa</t>
    </r>
    <r>
      <rPr>
        <sz val="9"/>
        <color theme="1"/>
        <rFont val="Verdana"/>
        <family val="2"/>
      </rPr>
      <t>ssing bij ZLT-nett</t>
    </r>
    <r>
      <rPr>
        <sz val="9"/>
        <rFont val="Verdana"/>
        <family val="2"/>
      </rPr>
      <t>en. Bij HT/MT/LT netten wordt hier een waarde van € 0</t>
    </r>
  </si>
  <si>
    <r>
      <t xml:space="preserve">Fasering primaire leidingnetten </t>
    </r>
    <r>
      <rPr>
        <b/>
        <sz val="9"/>
        <color theme="1"/>
        <rFont val="Verdana"/>
        <family val="2"/>
      </rPr>
      <t>(invullen vanaf kolom P)</t>
    </r>
  </si>
  <si>
    <r>
      <t xml:space="preserve">Fasering secundaire leidingnetten </t>
    </r>
    <r>
      <rPr>
        <b/>
        <sz val="9"/>
        <color theme="1"/>
        <rFont val="Verdana"/>
        <family val="2"/>
      </rPr>
      <t>(invullen vanaf kolom P)</t>
    </r>
  </si>
  <si>
    <r>
      <t xml:space="preserve">Fasering overdrachtstations </t>
    </r>
    <r>
      <rPr>
        <b/>
        <sz val="9"/>
        <color theme="1"/>
        <rFont val="Verdana"/>
        <family val="2"/>
      </rPr>
      <t>(invullen vanaf kolom P)</t>
    </r>
  </si>
  <si>
    <r>
      <t xml:space="preserve">Fasering overig </t>
    </r>
    <r>
      <rPr>
        <b/>
        <sz val="9"/>
        <color theme="1"/>
        <rFont val="Verdana"/>
        <family val="2"/>
      </rPr>
      <t>(invullen vanaf kolom P)</t>
    </r>
  </si>
  <si>
    <t xml:space="preserve">Kosten warmtewisselaar / afleversets + meter </t>
  </si>
  <si>
    <t>keuze grondgebonden of gestapelde woning</t>
  </si>
  <si>
    <t xml:space="preserve">    woningen in de bestaande gebouwen als grootverbruik-aansluitingen en/ of nieuwbouw, worden de subsidiabele kosten per onderdeel van het warmtenet </t>
  </si>
  <si>
    <t xml:space="preserve">    als volgt bepaald:</t>
  </si>
  <si>
    <t>Btw</t>
  </si>
  <si>
    <t>gewogen gemiddelde kosten afleversets</t>
  </si>
  <si>
    <t xml:space="preserve">Ook mag de startdatum niet liggen voor de datum van indiening. </t>
  </si>
  <si>
    <t xml:space="preserve">De startdatum is de datum waarop u start met uw investeringsproject. U mag geen kosten maken voor de startdatum. </t>
  </si>
  <si>
    <t xml:space="preserve">Voor u begint </t>
  </si>
  <si>
    <t>versie 2023  1.14</t>
  </si>
  <si>
    <t>Versie 1.14 dd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</si>
</sst>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_-;_-* #,##0\-;_-* &quot;-&quot;??_-;_-@_-"/>
    <numFmt numFmtId="169" formatCode="_-&quot;€&quot;\ * #,##0_-;_-&quot;€&quot;\ * #,##0\-;_-&quot;€&quot;\ * &quot;-&quot;??_-;_-@_-"/>
    <numFmt numFmtId="170" formatCode="#,##0.0"/>
    <numFmt numFmtId="171" formatCode="#,##0.00_-"/>
    <numFmt numFmtId="172" formatCode="&quot;€&quot;\ #,##0_-"/>
    <numFmt numFmtId="173" formatCode="_-[$€-413]\ * #,##0_-;_-[$€-413]\ * #,##0\-;_-[$€-413]\ * &quot;-&quot;_-;_-@_-"/>
    <numFmt numFmtId="174" formatCode="\-"/>
    <numFmt numFmtId="175" formatCode="&quot;€&quot;\ #,##0"/>
    <numFmt numFmtId="176" formatCode="0.0"/>
    <numFmt numFmtId="177" formatCode="General_)"/>
    <numFmt numFmtId="178" formatCode="#,##0_);\(#,##0\);&quot;-  &quot;;&quot; &quot;@"/>
    <numFmt numFmtId="179" formatCode="#,##0.00_);\(#,##0.00\);&quot;-  &quot;;&quot; &quot;@"/>
    <numFmt numFmtId="180" formatCode="0.00%_);\-0.00%_);&quot;-  &quot;;&quot; &quot;@"/>
    <numFmt numFmtId="181" formatCode="#,##0.0_);\(#,##0.0\);&quot;-  &quot;;&quot; &quot;@"/>
    <numFmt numFmtId="182" formatCode="_ &quot;€&quot;\ * #,##0_ ;_ &quot;€&quot;\ * \-#,##0_ ;_ &quot;€&quot;\ * &quot;-&quot;??_ ;_ @_ "/>
    <numFmt numFmtId="183" formatCode="0%_);\-0%_);&quot;-  &quot;;&quot; &quot;@"/>
  </numFmts>
  <fonts count="10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7.5"/>
      <color indexed="12"/>
      <name val="Times New Roman"/>
      <family val="1"/>
    </font>
    <font>
      <sz val="10"/>
      <name val="Times New Roman"/>
      <family val="1"/>
    </font>
    <font>
      <sz val="10"/>
      <name val="Verdana"/>
      <family val="2"/>
    </font>
    <font>
      <b/>
      <sz val="10"/>
      <name val="Verdana"/>
      <family val="2"/>
    </font>
    <font>
      <b/>
      <sz val="11"/>
      <name val="Verdana"/>
      <family val="2"/>
    </font>
    <font>
      <b/>
      <sz val="11"/>
      <color indexed="9"/>
      <name val="Verdana"/>
      <family val="2"/>
    </font>
    <font>
      <b/>
      <sz val="9"/>
      <color indexed="9"/>
      <name val="Verdana"/>
      <family val="2"/>
    </font>
    <font>
      <b/>
      <sz val="9"/>
      <name val="Verdana"/>
      <family val="2"/>
    </font>
    <font>
      <sz val="9"/>
      <name val="Verdana"/>
      <family val="2"/>
    </font>
    <font>
      <b/>
      <sz val="14"/>
      <name val="Verdana"/>
      <family val="2"/>
    </font>
    <font>
      <sz val="9"/>
      <color indexed="9"/>
      <name val="Verdana"/>
      <family val="2"/>
    </font>
    <font>
      <i/>
      <sz val="9"/>
      <name val="Verdana"/>
      <family val="2"/>
    </font>
    <font>
      <sz val="10"/>
      <name val="Arial"/>
      <family val="2"/>
    </font>
    <font>
      <sz val="10"/>
      <name val="Courier"/>
      <family val="3"/>
    </font>
    <font>
      <u/>
      <sz val="9"/>
      <color indexed="12"/>
      <name val="Verdana"/>
      <family val="2"/>
    </font>
    <font>
      <sz val="9"/>
      <color indexed="8"/>
      <name val="Verdana"/>
      <family val="2"/>
    </font>
    <font>
      <b/>
      <sz val="9"/>
      <color indexed="8"/>
      <name val="Verdana"/>
      <family val="2"/>
    </font>
    <font>
      <sz val="9"/>
      <color indexed="55"/>
      <name val="Verdana"/>
      <family val="2"/>
    </font>
    <font>
      <i/>
      <sz val="9"/>
      <color indexed="9"/>
      <name val="Verdana"/>
      <family val="2"/>
    </font>
    <font>
      <b/>
      <i/>
      <sz val="9"/>
      <color indexed="9"/>
      <name val="Verdana"/>
      <family val="2"/>
    </font>
    <font>
      <b/>
      <u/>
      <sz val="9"/>
      <name val="Verdana"/>
      <family val="2"/>
    </font>
    <font>
      <sz val="9"/>
      <color indexed="22"/>
      <name val="Verdana"/>
      <family val="2"/>
    </font>
    <font>
      <b/>
      <sz val="12"/>
      <name val="Verdana"/>
      <family val="2"/>
    </font>
    <font>
      <sz val="11"/>
      <color indexed="9"/>
      <name val="Verdana"/>
      <family val="2"/>
    </font>
    <font>
      <sz val="11"/>
      <name val="Verdana"/>
      <family val="2"/>
    </font>
    <font>
      <b/>
      <i/>
      <sz val="9"/>
      <name val="Verdana"/>
      <family val="2"/>
    </font>
    <font>
      <b/>
      <sz val="15"/>
      <name val="Verdana"/>
      <family val="2"/>
    </font>
    <font>
      <b/>
      <sz val="15"/>
      <color indexed="9"/>
      <name val="Verdana"/>
      <family val="2"/>
    </font>
    <font>
      <b/>
      <sz val="10"/>
      <color rgb="FFFF0000"/>
      <name val="Arial"/>
      <family val="2"/>
    </font>
    <font>
      <b/>
      <sz val="9"/>
      <color theme="1"/>
      <name val="Verdana"/>
      <family val="2"/>
    </font>
    <font>
      <b/>
      <sz val="9"/>
      <color rgb="FFFF0000"/>
      <name val="Verdana"/>
      <family val="2"/>
    </font>
    <font>
      <sz val="9"/>
      <color rgb="FFFF0000"/>
      <name val="Verdana"/>
      <family val="2"/>
    </font>
    <font>
      <sz val="9"/>
      <color rgb="FF000000"/>
      <name val="Verdana"/>
      <family val="2"/>
    </font>
    <font>
      <sz val="9"/>
      <color theme="1"/>
      <name val="Verdana"/>
      <family val="2"/>
    </font>
    <font>
      <b/>
      <sz val="9"/>
      <color rgb="FF0070C0"/>
      <name val="Verdana"/>
      <family val="2"/>
    </font>
    <font>
      <b/>
      <sz val="11"/>
      <color theme="0"/>
      <name val="Verdana"/>
      <family val="2"/>
    </font>
    <font>
      <sz val="11"/>
      <color theme="0"/>
      <name val="Verdana"/>
      <family val="2"/>
    </font>
    <font>
      <i/>
      <sz val="9"/>
      <color rgb="FFFF0000"/>
      <name val="Verdana"/>
      <family val="2"/>
    </font>
    <font>
      <sz val="10"/>
      <color theme="0"/>
      <name val="Arial"/>
      <family val="2"/>
    </font>
    <font>
      <b/>
      <sz val="11"/>
      <color rgb="FFFF0000"/>
      <name val="Verdana"/>
      <family val="2"/>
    </font>
    <font>
      <sz val="11"/>
      <color rgb="FFFF0000"/>
      <name val="Verdana"/>
      <family val="2"/>
    </font>
    <font>
      <b/>
      <sz val="9"/>
      <color rgb="FF000000"/>
      <name val="Verdana"/>
      <family val="2"/>
    </font>
    <font>
      <b/>
      <sz val="10"/>
      <color rgb="FF00B050"/>
      <name val="Verdana"/>
      <family val="2"/>
    </font>
    <font>
      <sz val="10"/>
      <color rgb="FFFF0000"/>
      <name val="Arial"/>
      <family val="2"/>
    </font>
    <font>
      <u/>
      <sz val="9"/>
      <color rgb="FF0000FF"/>
      <name val="Verdana"/>
      <family val="2"/>
    </font>
    <font>
      <b/>
      <i/>
      <sz val="9"/>
      <color rgb="FFFF0000"/>
      <name val="Verdana"/>
      <family val="2"/>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b/>
      <sz val="11"/>
      <name val="Calibri"/>
      <family val="2"/>
      <scheme val="minor"/>
    </font>
    <font>
      <sz val="11"/>
      <color rgb="FF1111FF"/>
      <name val="Calibri"/>
      <family val="2"/>
      <scheme val="minor"/>
    </font>
    <font>
      <sz val="16"/>
      <color theme="1"/>
      <name val="Calibri"/>
      <family val="2"/>
      <scheme val="minor"/>
    </font>
    <font>
      <b/>
      <sz val="18"/>
      <color rgb="FFC00000"/>
      <name val="Calibri"/>
      <family val="2"/>
      <scheme val="minor"/>
    </font>
    <font>
      <sz val="11"/>
      <color indexed="12"/>
      <name val="Calibri"/>
      <family val="2"/>
      <scheme val="minor"/>
    </font>
    <font>
      <b/>
      <sz val="11"/>
      <color indexed="12"/>
      <name val="Calibri"/>
      <family val="2"/>
      <scheme val="minor"/>
    </font>
    <font>
      <b/>
      <sz val="11"/>
      <color rgb="FF1111FF"/>
      <name val="Calibri"/>
      <family val="2"/>
      <scheme val="minor"/>
    </font>
    <font>
      <b/>
      <sz val="10"/>
      <color rgb="FF00B050"/>
      <name val="Arial"/>
      <family val="2"/>
    </font>
    <font>
      <u/>
      <sz val="9"/>
      <color rgb="FF000000"/>
      <name val="Verdana"/>
      <family val="2"/>
    </font>
    <font>
      <u/>
      <sz val="9"/>
      <color rgb="FF0070C0"/>
      <name val="Verdana"/>
      <family val="2"/>
    </font>
    <font>
      <sz val="9"/>
      <color indexed="8"/>
      <name val="Calibri"/>
      <family val="2"/>
    </font>
    <font>
      <b/>
      <sz val="7"/>
      <color theme="0"/>
      <name val="Verdana"/>
      <family val="2"/>
    </font>
    <font>
      <b/>
      <sz val="11"/>
      <color rgb="FFFFFFFF"/>
      <name val="Verdana"/>
      <family val="2"/>
    </font>
    <font>
      <u/>
      <sz val="9"/>
      <name val="Verdana"/>
      <family val="2"/>
    </font>
    <font>
      <i/>
      <sz val="9"/>
      <color theme="1"/>
      <name val="Verdana"/>
      <family val="2"/>
    </font>
    <font>
      <sz val="11"/>
      <color theme="1"/>
      <name val="Verdana"/>
      <family val="2"/>
    </font>
    <font>
      <b/>
      <sz val="18"/>
      <color rgb="FFC00000"/>
      <name val="Verdana"/>
      <family val="2"/>
    </font>
    <font>
      <b/>
      <sz val="16"/>
      <color theme="1"/>
      <name val="Verdana"/>
      <family val="2"/>
    </font>
    <font>
      <sz val="16"/>
      <color theme="1"/>
      <name val="Verdana"/>
      <family val="2"/>
    </font>
    <font>
      <b/>
      <i/>
      <sz val="11"/>
      <color theme="1"/>
      <name val="Verdana"/>
      <family val="2"/>
    </font>
    <font>
      <b/>
      <sz val="11"/>
      <color theme="1"/>
      <name val="Verdana"/>
      <family val="2"/>
    </font>
    <font>
      <b/>
      <sz val="12"/>
      <color theme="1"/>
      <name val="Verdana"/>
      <family val="2"/>
    </font>
    <font>
      <sz val="11"/>
      <color theme="1" tint="0.499984740745262"/>
      <name val="Verdana"/>
      <family val="2"/>
    </font>
    <font>
      <i/>
      <sz val="11"/>
      <color theme="1"/>
      <name val="Verdana"/>
      <family val="2"/>
    </font>
    <font>
      <i/>
      <sz val="11"/>
      <color theme="1" tint="0.499984740745262"/>
      <name val="Verdana"/>
      <family val="2"/>
    </font>
    <font>
      <sz val="11"/>
      <color theme="0" tint="-0.499984740745262"/>
      <name val="Verdana"/>
      <family val="2"/>
    </font>
    <font>
      <sz val="16"/>
      <color theme="0" tint="-0.499984740745262"/>
      <name val="Verdana"/>
      <family val="2"/>
    </font>
    <font>
      <b/>
      <sz val="11"/>
      <color theme="0" tint="-0.499984740745262"/>
      <name val="Verdana"/>
      <family val="2"/>
    </font>
    <font>
      <i/>
      <sz val="11"/>
      <color theme="0" tint="-0.499984740745262"/>
      <name val="Verdana"/>
      <family val="2"/>
    </font>
    <font>
      <b/>
      <i/>
      <sz val="9"/>
      <color theme="1"/>
      <name val="Verdana"/>
      <family val="2"/>
    </font>
    <font>
      <b/>
      <sz val="9"/>
      <color theme="1" tint="0.499984740745262"/>
      <name val="Verdana"/>
      <family val="2"/>
    </font>
    <font>
      <sz val="9"/>
      <color theme="1" tint="0.499984740745262"/>
      <name val="Verdana"/>
      <family val="2"/>
    </font>
    <font>
      <i/>
      <sz val="9"/>
      <color theme="1" tint="0.499984740745262"/>
      <name val="Verdana"/>
      <family val="2"/>
    </font>
    <font>
      <u/>
      <sz val="9"/>
      <color theme="10"/>
      <name val="Verdana"/>
      <family val="2"/>
    </font>
    <font>
      <i/>
      <sz val="9"/>
      <color theme="0" tint="-0.34998626667073579"/>
      <name val="Verdana"/>
      <family val="2"/>
    </font>
    <font>
      <vertAlign val="superscript"/>
      <sz val="9"/>
      <color theme="1"/>
      <name val="Verdana"/>
      <family val="2"/>
    </font>
    <font>
      <sz val="9"/>
      <color rgb="FF1111FF"/>
      <name val="Verdana"/>
      <family val="2"/>
    </font>
    <font>
      <sz val="9"/>
      <color theme="0" tint="-0.249977111117893"/>
      <name val="Verdana"/>
      <family val="2"/>
    </font>
    <font>
      <i/>
      <sz val="9"/>
      <color theme="0" tint="-0.249977111117893"/>
      <name val="Verdana"/>
      <family val="2"/>
    </font>
    <font>
      <b/>
      <sz val="9"/>
      <color theme="0" tint="-0.499984740745262"/>
      <name val="Verdana"/>
      <family val="2"/>
    </font>
    <font>
      <sz val="9"/>
      <color theme="0" tint="-0.499984740745262"/>
      <name val="Verdana"/>
      <family val="2"/>
    </font>
    <font>
      <b/>
      <sz val="9"/>
      <color rgb="FFD51B1E"/>
      <name val="Verdana"/>
      <family val="2"/>
    </font>
    <font>
      <i/>
      <sz val="9"/>
      <color rgb="FFC00000"/>
      <name val="Verdana"/>
      <family val="2"/>
    </font>
    <font>
      <sz val="9"/>
      <color rgb="FFC00000"/>
      <name val="Verdana"/>
      <family val="2"/>
    </font>
    <font>
      <i/>
      <sz val="8"/>
      <name val="Verdana"/>
      <family val="2"/>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5"/>
      </patternFill>
    </fill>
    <fill>
      <patternFill patternType="solid">
        <fgColor theme="4"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B2D7EE"/>
        <bgColor indexed="64"/>
      </patternFill>
    </fill>
    <fill>
      <patternFill patternType="solid">
        <fgColor rgb="FFFFFFDC"/>
        <bgColor indexed="64"/>
      </patternFill>
    </fill>
    <fill>
      <patternFill patternType="solid">
        <fgColor rgb="FFE1EDDB"/>
        <bgColor indexed="64"/>
      </patternFill>
    </fill>
    <fill>
      <patternFill patternType="solid">
        <fgColor rgb="FFF6D4B2"/>
        <bgColor indexed="64"/>
      </patternFill>
    </fill>
    <fill>
      <patternFill patternType="solid">
        <fgColor rgb="FFCCCCCC"/>
        <bgColor indexed="64"/>
      </patternFill>
    </fill>
    <fill>
      <patternFill patternType="solid">
        <fgColor rgb="FFE17000"/>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right/>
      <top/>
      <bottom style="dotted">
        <color theme="0" tint="-0.34998626667073579"/>
      </bottom>
      <diagonal/>
    </border>
    <border>
      <left style="hair">
        <color auto="1"/>
      </left>
      <right style="hair">
        <color auto="1"/>
      </right>
      <top style="hair">
        <color auto="1"/>
      </top>
      <bottom style="hair">
        <color auto="1"/>
      </bottom>
      <diagonal/>
    </border>
    <border>
      <left/>
      <right/>
      <top style="thin">
        <color rgb="FF808080"/>
      </top>
      <bottom/>
      <diagonal/>
    </border>
    <border>
      <left/>
      <right/>
      <top style="thin">
        <color rgb="FF808080"/>
      </top>
      <bottom style="thin">
        <color rgb="FF808080"/>
      </bottom>
      <diagonal/>
    </border>
    <border>
      <left/>
      <right style="thin">
        <color indexed="64"/>
      </right>
      <top style="thin">
        <color rgb="FF808080"/>
      </top>
      <bottom style="thin">
        <color rgb="FF808080"/>
      </bottom>
      <diagonal/>
    </border>
    <border>
      <left style="hair">
        <color auto="1"/>
      </left>
      <right style="hair">
        <color auto="1"/>
      </right>
      <top style="hair">
        <color auto="1"/>
      </top>
      <bottom style="thin">
        <color indexed="64"/>
      </bottom>
      <diagonal/>
    </border>
    <border>
      <left style="hair">
        <color auto="1"/>
      </left>
      <right/>
      <top/>
      <bottom/>
      <diagonal/>
    </border>
    <border>
      <left/>
      <right/>
      <top style="thin">
        <color indexed="64"/>
      </top>
      <bottom style="thin">
        <color rgb="FF808080"/>
      </bottom>
      <diagonal/>
    </border>
    <border>
      <left/>
      <right style="thin">
        <color indexed="64"/>
      </right>
      <top style="thin">
        <color indexed="64"/>
      </top>
      <bottom style="thin">
        <color rgb="FF808080"/>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dotted">
        <color indexed="64"/>
      </bottom>
      <diagonal/>
    </border>
    <border>
      <left/>
      <right style="hair">
        <color auto="1"/>
      </right>
      <top/>
      <bottom style="hair">
        <color auto="1"/>
      </bottom>
      <diagonal/>
    </border>
    <border>
      <left/>
      <right/>
      <top/>
      <bottom style="hair">
        <color auto="1"/>
      </bottom>
      <diagonal/>
    </border>
    <border>
      <left/>
      <right style="thin">
        <color indexed="64"/>
      </right>
      <top/>
      <bottom style="hair">
        <color auto="1"/>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2">
    <xf numFmtId="0" fontId="0" fillId="0" borderId="0"/>
    <xf numFmtId="166" fontId="3" fillId="0" borderId="0" applyFont="0" applyFill="0" applyBorder="0" applyAlignment="0" applyProtection="0"/>
    <xf numFmtId="166" fontId="19" fillId="0" borderId="0" applyFont="0" applyFill="0" applyBorder="0" applyAlignment="0" applyProtection="0"/>
    <xf numFmtId="166" fontId="5" fillId="0" borderId="0" applyFont="0" applyFill="0" applyBorder="0" applyAlignment="0" applyProtection="0"/>
    <xf numFmtId="0" fontId="7" fillId="0" borderId="0" applyNumberFormat="0" applyFill="0" applyBorder="0" applyAlignment="0" applyProtection="0">
      <alignment vertical="top"/>
      <protection locked="0"/>
    </xf>
    <xf numFmtId="167" fontId="3" fillId="0" borderId="0" applyFont="0" applyFill="0" applyBorder="0" applyAlignment="0" applyProtection="0"/>
    <xf numFmtId="167" fontId="19" fillId="0" borderId="0" applyFont="0" applyFill="0" applyBorder="0" applyAlignment="0" applyProtection="0"/>
    <xf numFmtId="167" fontId="5"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0" fontId="5" fillId="0" borderId="0"/>
    <xf numFmtId="177" fontId="20" fillId="0" borderId="0"/>
    <xf numFmtId="0" fontId="8" fillId="0" borderId="0"/>
    <xf numFmtId="166" fontId="3" fillId="0" borderId="0" applyFont="0" applyFill="0" applyBorder="0" applyAlignment="0" applyProtection="0"/>
    <xf numFmtId="0" fontId="2" fillId="17" borderId="0" applyNumberFormat="0" applyBorder="0" applyAlignment="0" applyProtection="0"/>
    <xf numFmtId="178" fontId="2" fillId="0" borderId="0" applyFont="0" applyFill="0" applyBorder="0" applyProtection="0">
      <alignment vertical="top"/>
    </xf>
    <xf numFmtId="178" fontId="56" fillId="0" borderId="0" applyNumberFormat="0" applyFill="0" applyBorder="0" applyAlignment="0" applyProtection="0">
      <alignment vertical="top"/>
    </xf>
    <xf numFmtId="180" fontId="2" fillId="0" borderId="0" applyFont="0" applyFill="0" applyBorder="0" applyProtection="0">
      <alignment vertical="top"/>
    </xf>
    <xf numFmtId="178" fontId="2" fillId="0" borderId="0" applyFont="0" applyFill="0" applyBorder="0" applyProtection="0">
      <alignment vertical="top"/>
    </xf>
    <xf numFmtId="44" fontId="2" fillId="0" borderId="0" applyFont="0" applyFill="0" applyBorder="0" applyAlignment="0" applyProtection="0"/>
    <xf numFmtId="0" fontId="2" fillId="0" borderId="0"/>
  </cellStyleXfs>
  <cellXfs count="981">
    <xf numFmtId="0" fontId="0" fillId="0" borderId="0" xfId="0"/>
    <xf numFmtId="0" fontId="4" fillId="0" borderId="0" xfId="0" applyFont="1"/>
    <xf numFmtId="0" fontId="9" fillId="0" borderId="0" xfId="0" applyFont="1"/>
    <xf numFmtId="0" fontId="10" fillId="0" borderId="0" xfId="13" applyFont="1" applyProtection="1"/>
    <xf numFmtId="0" fontId="9" fillId="0" borderId="0" xfId="13" applyFont="1" applyProtection="1"/>
    <xf numFmtId="0" fontId="10" fillId="0" borderId="0" xfId="0" applyFont="1"/>
    <xf numFmtId="0" fontId="10" fillId="6" borderId="0" xfId="0" applyFont="1" applyFill="1"/>
    <xf numFmtId="0" fontId="9" fillId="0" borderId="0" xfId="13" applyFont="1" applyFill="1" applyProtection="1"/>
    <xf numFmtId="0" fontId="9" fillId="6" borderId="0" xfId="0" applyFont="1" applyFill="1"/>
    <xf numFmtId="0" fontId="0" fillId="6" borderId="0" xfId="0" applyFill="1"/>
    <xf numFmtId="0" fontId="15" fillId="7" borderId="0" xfId="11" applyFont="1" applyFill="1"/>
    <xf numFmtId="0" fontId="14" fillId="7" borderId="0" xfId="11" applyFont="1" applyFill="1" applyAlignment="1">
      <alignment horizontal="left"/>
    </xf>
    <xf numFmtId="0" fontId="14" fillId="7" borderId="0" xfId="11" applyFont="1" applyFill="1"/>
    <xf numFmtId="0" fontId="5" fillId="0" borderId="0" xfId="0" applyFont="1"/>
    <xf numFmtId="0" fontId="15" fillId="0" borderId="0" xfId="13" applyFont="1" applyFill="1" applyBorder="1" applyAlignment="1" applyProtection="1"/>
    <xf numFmtId="0" fontId="5" fillId="0" borderId="0" xfId="0" applyFont="1" applyFill="1" applyBorder="1"/>
    <xf numFmtId="0" fontId="10" fillId="0" borderId="0" xfId="0" applyFont="1" applyFill="1"/>
    <xf numFmtId="0" fontId="35" fillId="0" borderId="0" xfId="0" applyFont="1" applyAlignment="1">
      <alignment wrapText="1"/>
    </xf>
    <xf numFmtId="174" fontId="15" fillId="8" borderId="1" xfId="0" applyNumberFormat="1" applyFont="1" applyFill="1" applyBorder="1" applyProtection="1"/>
    <xf numFmtId="172" fontId="15" fillId="8" borderId="1" xfId="0" applyNumberFormat="1" applyFont="1" applyFill="1" applyBorder="1" applyAlignment="1" applyProtection="1">
      <alignment horizontal="right" wrapText="1"/>
    </xf>
    <xf numFmtId="0" fontId="15" fillId="0" borderId="0" xfId="0" applyFont="1"/>
    <xf numFmtId="0" fontId="15" fillId="7" borderId="0" xfId="11" applyFont="1" applyFill="1" applyAlignment="1">
      <alignment horizontal="left"/>
    </xf>
    <xf numFmtId="0" fontId="15" fillId="7" borderId="0" xfId="11" applyFont="1" applyFill="1" applyAlignment="1">
      <alignment vertical="top"/>
    </xf>
    <xf numFmtId="0" fontId="14" fillId="7" borderId="0" xfId="11" applyFont="1" applyFill="1" applyAlignment="1">
      <alignment horizontal="right" vertical="top"/>
    </xf>
    <xf numFmtId="0" fontId="15" fillId="0" borderId="0" xfId="11" applyFont="1"/>
    <xf numFmtId="0" fontId="17" fillId="0" borderId="0" xfId="11" applyFont="1"/>
    <xf numFmtId="14" fontId="36" fillId="4" borderId="3" xfId="13" applyNumberFormat="1" applyFont="1" applyFill="1" applyBorder="1" applyAlignment="1" applyProtection="1"/>
    <xf numFmtId="0" fontId="13" fillId="4" borderId="0" xfId="13" applyFont="1" applyFill="1" applyAlignment="1" applyProtection="1"/>
    <xf numFmtId="14" fontId="14" fillId="4" borderId="0" xfId="13" applyNumberFormat="1" applyFont="1" applyFill="1" applyAlignment="1" applyProtection="1"/>
    <xf numFmtId="0" fontId="15" fillId="0" borderId="0" xfId="13" applyFont="1" applyProtection="1"/>
    <xf numFmtId="0" fontId="37" fillId="0" borderId="0" xfId="13" applyFont="1" applyProtection="1"/>
    <xf numFmtId="0" fontId="14" fillId="0" borderId="0" xfId="13" applyFont="1" applyBorder="1" applyAlignment="1" applyProtection="1"/>
    <xf numFmtId="0" fontId="14" fillId="0" borderId="0" xfId="13" applyFont="1" applyProtection="1"/>
    <xf numFmtId="0" fontId="14" fillId="0" borderId="0" xfId="13" applyFont="1" applyFill="1" applyProtection="1"/>
    <xf numFmtId="0" fontId="15" fillId="0" borderId="0" xfId="13" applyFont="1" applyFill="1" applyBorder="1" applyAlignment="1" applyProtection="1">
      <alignment horizontal="center"/>
    </xf>
    <xf numFmtId="0" fontId="14" fillId="0" borderId="0" xfId="13" applyFont="1" applyBorder="1" applyProtection="1"/>
    <xf numFmtId="0" fontId="14" fillId="0" borderId="0" xfId="13" applyFont="1" applyAlignment="1" applyProtection="1">
      <alignment horizontal="center"/>
    </xf>
    <xf numFmtId="49" fontId="15" fillId="0" borderId="0" xfId="13" applyNumberFormat="1" applyFont="1" applyFill="1" applyBorder="1" applyAlignment="1" applyProtection="1"/>
    <xf numFmtId="170" fontId="15" fillId="0" borderId="0" xfId="13" applyNumberFormat="1" applyFont="1" applyAlignment="1" applyProtection="1">
      <alignment horizontal="center"/>
    </xf>
    <xf numFmtId="0" fontId="37" fillId="0" borderId="0" xfId="13" applyFont="1" applyAlignment="1" applyProtection="1">
      <alignment vertical="center"/>
    </xf>
    <xf numFmtId="0" fontId="21" fillId="7" borderId="0" xfId="4" applyFont="1" applyFill="1" applyAlignment="1" applyProtection="1">
      <alignment horizontal="left"/>
    </xf>
    <xf numFmtId="0" fontId="0" fillId="0" borderId="0" xfId="0" applyAlignment="1">
      <alignment vertical="top"/>
    </xf>
    <xf numFmtId="0" fontId="15" fillId="0" borderId="0" xfId="0" applyFont="1" applyAlignment="1">
      <alignment vertical="top"/>
    </xf>
    <xf numFmtId="0" fontId="24" fillId="0" borderId="0" xfId="0" applyFont="1" applyFill="1" applyProtection="1"/>
    <xf numFmtId="0" fontId="15" fillId="0" borderId="0" xfId="0" applyFont="1" applyProtection="1"/>
    <xf numFmtId="0" fontId="15" fillId="3" borderId="0" xfId="0" applyFont="1" applyFill="1" applyProtection="1"/>
    <xf numFmtId="0" fontId="14" fillId="3" borderId="0" xfId="0" applyFont="1" applyFill="1" applyBorder="1" applyAlignment="1" applyProtection="1">
      <alignment horizontal="left" wrapText="1"/>
    </xf>
    <xf numFmtId="0" fontId="14" fillId="3" borderId="0" xfId="0" applyFont="1" applyFill="1" applyBorder="1" applyAlignment="1" applyProtection="1">
      <alignment horizontal="center" wrapText="1"/>
    </xf>
    <xf numFmtId="14" fontId="15" fillId="0" borderId="0" xfId="0" applyNumberFormat="1" applyFont="1" applyProtection="1"/>
    <xf numFmtId="0" fontId="24" fillId="3" borderId="0" xfId="0" applyFont="1" applyFill="1" applyAlignment="1" applyProtection="1">
      <alignment horizontal="left"/>
    </xf>
    <xf numFmtId="0" fontId="15" fillId="3" borderId="0" xfId="0" applyFont="1" applyFill="1" applyBorder="1" applyProtection="1"/>
    <xf numFmtId="0" fontId="13" fillId="4" borderId="4" xfId="0" applyFont="1" applyFill="1" applyBorder="1" applyAlignment="1" applyProtection="1">
      <alignment horizontal="left"/>
    </xf>
    <xf numFmtId="0" fontId="17" fillId="4" borderId="5" xfId="0" applyFont="1" applyFill="1" applyBorder="1" applyAlignment="1" applyProtection="1">
      <alignment horizontal="left"/>
    </xf>
    <xf numFmtId="0" fontId="25" fillId="4" borderId="5" xfId="0" applyFont="1" applyFill="1" applyBorder="1" applyAlignment="1" applyProtection="1">
      <alignment horizontal="left"/>
    </xf>
    <xf numFmtId="0" fontId="26" fillId="4" borderId="5" xfId="0" applyFont="1" applyFill="1" applyBorder="1" applyAlignment="1" applyProtection="1">
      <alignment horizontal="left"/>
    </xf>
    <xf numFmtId="0" fontId="17" fillId="4" borderId="6" xfId="0" applyFont="1" applyFill="1" applyBorder="1" applyAlignment="1" applyProtection="1">
      <alignment horizontal="left"/>
    </xf>
    <xf numFmtId="0" fontId="18" fillId="0" borderId="0" xfId="0" applyFont="1" applyProtection="1"/>
    <xf numFmtId="0" fontId="14" fillId="7" borderId="0" xfId="11" applyFont="1" applyFill="1" applyAlignment="1">
      <alignment vertical="top"/>
    </xf>
    <xf numFmtId="0" fontId="15" fillId="7" borderId="0" xfId="4" applyFont="1" applyFill="1" applyBorder="1" applyAlignment="1" applyProtection="1"/>
    <xf numFmtId="0" fontId="15" fillId="0" borderId="0" xfId="0" applyFont="1" applyAlignment="1" applyProtection="1">
      <alignment horizontal="left"/>
    </xf>
    <xf numFmtId="0" fontId="15" fillId="0" borderId="0" xfId="13" applyFont="1" applyFill="1" applyAlignment="1"/>
    <xf numFmtId="165" fontId="15" fillId="0" borderId="0" xfId="0" applyNumberFormat="1" applyFont="1" applyAlignment="1" applyProtection="1">
      <alignment horizontal="left"/>
    </xf>
    <xf numFmtId="0" fontId="15" fillId="0" borderId="0" xfId="13" applyFont="1" applyFill="1" applyAlignment="1">
      <alignment wrapText="1"/>
    </xf>
    <xf numFmtId="0" fontId="15" fillId="0" borderId="0" xfId="0" applyFont="1" applyFill="1" applyAlignment="1" applyProtection="1">
      <alignment horizontal="left"/>
    </xf>
    <xf numFmtId="0" fontId="14" fillId="0" borderId="0" xfId="0" applyFont="1" applyFill="1" applyBorder="1" applyAlignment="1" applyProtection="1">
      <alignment horizontal="left"/>
    </xf>
    <xf numFmtId="0" fontId="15" fillId="0" borderId="0" xfId="0" applyFont="1" applyBorder="1" applyAlignment="1" applyProtection="1">
      <alignment horizontal="left"/>
    </xf>
    <xf numFmtId="0" fontId="17" fillId="3" borderId="0" xfId="0" applyFont="1" applyFill="1" applyBorder="1" applyAlignment="1" applyProtection="1">
      <alignment horizontal="left" wrapText="1"/>
    </xf>
    <xf numFmtId="0" fontId="17" fillId="0" borderId="0" xfId="13" applyFont="1" applyFill="1" applyAlignment="1">
      <alignment wrapText="1"/>
    </xf>
    <xf numFmtId="0" fontId="15" fillId="0" borderId="0" xfId="0" quotePrefix="1" applyFont="1" applyFill="1" applyAlignment="1" applyProtection="1">
      <alignment horizontal="left"/>
    </xf>
    <xf numFmtId="0" fontId="15" fillId="3" borderId="0" xfId="13" applyFont="1" applyFill="1" applyAlignment="1"/>
    <xf numFmtId="0" fontId="13" fillId="0" borderId="0" xfId="13" applyFont="1" applyFill="1" applyAlignment="1"/>
    <xf numFmtId="0" fontId="17" fillId="0" borderId="0" xfId="13" applyFont="1" applyFill="1" applyAlignment="1"/>
    <xf numFmtId="171" fontId="14" fillId="0" borderId="0" xfId="5" applyNumberFormat="1" applyFont="1" applyFill="1" applyAlignment="1">
      <alignment horizontal="center"/>
    </xf>
    <xf numFmtId="0" fontId="15" fillId="0" borderId="0" xfId="13" applyFont="1" applyFill="1" applyBorder="1" applyAlignment="1">
      <alignment horizontal="center"/>
    </xf>
    <xf numFmtId="169" fontId="15" fillId="0" borderId="0" xfId="1" applyNumberFormat="1" applyFont="1" applyFill="1" applyAlignment="1"/>
    <xf numFmtId="0" fontId="15" fillId="3" borderId="0" xfId="13" applyFont="1" applyFill="1" applyAlignment="1">
      <alignment horizontal="left" vertical="top"/>
    </xf>
    <xf numFmtId="0" fontId="15" fillId="0" borderId="0" xfId="13" applyFont="1" applyFill="1" applyAlignment="1">
      <alignment horizontal="left" vertical="top"/>
    </xf>
    <xf numFmtId="0" fontId="15" fillId="0" borderId="0" xfId="13" applyFont="1" applyFill="1" applyBorder="1" applyAlignment="1"/>
    <xf numFmtId="0" fontId="15" fillId="0" borderId="0" xfId="0" applyFont="1" applyAlignment="1">
      <alignment wrapText="1"/>
    </xf>
    <xf numFmtId="0" fontId="18" fillId="0" borderId="0" xfId="0" applyFont="1" applyBorder="1" applyAlignment="1">
      <alignment wrapText="1"/>
    </xf>
    <xf numFmtId="0" fontId="18" fillId="0" borderId="0" xfId="0" applyFont="1" applyBorder="1" applyAlignment="1"/>
    <xf numFmtId="0" fontId="14" fillId="0" borderId="0" xfId="13" applyFont="1" applyFill="1" applyAlignment="1"/>
    <xf numFmtId="169" fontId="14" fillId="0" borderId="0" xfId="1" applyNumberFormat="1" applyFont="1" applyFill="1" applyBorder="1" applyAlignment="1"/>
    <xf numFmtId="171" fontId="15" fillId="0" borderId="0" xfId="13" applyNumberFormat="1" applyFont="1" applyFill="1" applyAlignment="1"/>
    <xf numFmtId="0" fontId="15" fillId="0" borderId="0" xfId="13" applyFont="1" applyFill="1" applyAlignment="1" applyProtection="1"/>
    <xf numFmtId="169" fontId="15" fillId="0" borderId="0" xfId="1" applyNumberFormat="1" applyFont="1" applyFill="1" applyBorder="1" applyAlignment="1"/>
    <xf numFmtId="0" fontId="15" fillId="3" borderId="0" xfId="0" applyFont="1" applyFill="1" applyAlignment="1">
      <alignment horizontal="left" wrapText="1"/>
    </xf>
    <xf numFmtId="0" fontId="15" fillId="0" borderId="2" xfId="0" applyFont="1" applyBorder="1"/>
    <xf numFmtId="0" fontId="15" fillId="0" borderId="8" xfId="13" applyFont="1" applyFill="1" applyBorder="1" applyAlignment="1"/>
    <xf numFmtId="0" fontId="15" fillId="0" borderId="8" xfId="0" applyFont="1" applyBorder="1"/>
    <xf numFmtId="0" fontId="15" fillId="0" borderId="9" xfId="0" applyFont="1" applyBorder="1"/>
    <xf numFmtId="0" fontId="15" fillId="0" borderId="0" xfId="0" applyFont="1" applyAlignment="1">
      <alignment horizontal="left" wrapText="1"/>
    </xf>
    <xf numFmtId="0" fontId="15" fillId="3" borderId="0" xfId="0" applyFont="1" applyFill="1" applyAlignment="1" applyProtection="1">
      <alignment horizontal="left" wrapText="1"/>
    </xf>
    <xf numFmtId="0" fontId="14" fillId="0" borderId="8" xfId="0" applyFont="1" applyBorder="1"/>
    <xf numFmtId="0" fontId="14" fillId="0" borderId="9" xfId="0" applyFont="1" applyBorder="1"/>
    <xf numFmtId="0" fontId="28" fillId="0" borderId="0" xfId="0" applyFont="1" applyAlignment="1">
      <alignment horizontal="left"/>
    </xf>
    <xf numFmtId="0" fontId="15" fillId="0" borderId="0" xfId="0" applyFont="1" applyAlignment="1">
      <alignment horizontal="left"/>
    </xf>
    <xf numFmtId="0" fontId="38" fillId="0" borderId="10" xfId="0" applyFont="1" applyBorder="1" applyAlignment="1">
      <alignment wrapText="1"/>
    </xf>
    <xf numFmtId="0" fontId="38" fillId="0" borderId="0" xfId="0" applyFont="1" applyBorder="1" applyAlignment="1">
      <alignment wrapText="1"/>
    </xf>
    <xf numFmtId="0" fontId="14" fillId="0" borderId="2" xfId="0" applyFont="1" applyBorder="1"/>
    <xf numFmtId="0" fontId="37" fillId="0" borderId="0" xfId="13" applyFont="1" applyFill="1" applyBorder="1" applyAlignment="1"/>
    <xf numFmtId="171" fontId="15" fillId="0" borderId="0" xfId="13" applyNumberFormat="1" applyFont="1" applyFill="1" applyBorder="1" applyAlignment="1"/>
    <xf numFmtId="0" fontId="13" fillId="7" borderId="0" xfId="13" applyFont="1" applyFill="1" applyAlignment="1"/>
    <xf numFmtId="0" fontId="17" fillId="7" borderId="0" xfId="13" applyFont="1" applyFill="1" applyAlignment="1"/>
    <xf numFmtId="169" fontId="13" fillId="7" borderId="0" xfId="1" applyNumberFormat="1" applyFont="1" applyFill="1" applyAlignment="1"/>
    <xf numFmtId="0" fontId="15" fillId="0" borderId="2" xfId="0" applyFont="1" applyBorder="1" applyAlignment="1">
      <alignment horizontal="left"/>
    </xf>
    <xf numFmtId="0" fontId="15" fillId="0" borderId="8" xfId="0" applyFont="1" applyBorder="1" applyAlignment="1">
      <alignment horizontal="left"/>
    </xf>
    <xf numFmtId="169" fontId="14" fillId="0" borderId="0" xfId="1" applyNumberFormat="1" applyFont="1" applyFill="1" applyAlignment="1"/>
    <xf numFmtId="0" fontId="15" fillId="0" borderId="0" xfId="0" applyFont="1" applyFill="1" applyBorder="1" applyAlignment="1" applyProtection="1">
      <alignment vertical="top" wrapText="1"/>
    </xf>
    <xf numFmtId="0" fontId="14" fillId="0" borderId="0" xfId="13" applyFont="1" applyFill="1" applyBorder="1" applyAlignment="1" applyProtection="1">
      <alignment horizontal="right"/>
    </xf>
    <xf numFmtId="171" fontId="15" fillId="0" borderId="0" xfId="13" applyNumberFormat="1" applyFont="1" applyFill="1" applyBorder="1" applyAlignment="1" applyProtection="1"/>
    <xf numFmtId="0" fontId="15" fillId="0" borderId="0" xfId="11" applyFont="1" applyFill="1"/>
    <xf numFmtId="0" fontId="15" fillId="0" borderId="12" xfId="0" applyFont="1" applyBorder="1"/>
    <xf numFmtId="0" fontId="15" fillId="0" borderId="0" xfId="11" applyFont="1" applyAlignment="1">
      <alignment vertical="top"/>
    </xf>
    <xf numFmtId="0" fontId="17" fillId="0" borderId="0" xfId="11" applyFont="1" applyAlignment="1">
      <alignment vertical="top"/>
    </xf>
    <xf numFmtId="0" fontId="39" fillId="0" borderId="0" xfId="0" applyFont="1" applyAlignment="1">
      <alignment vertical="top"/>
    </xf>
    <xf numFmtId="0" fontId="15" fillId="0" borderId="0" xfId="13" applyFont="1" applyAlignment="1">
      <alignment vertical="top"/>
    </xf>
    <xf numFmtId="0" fontId="22" fillId="0" borderId="0" xfId="0" applyFont="1" applyAlignment="1">
      <alignment vertical="top"/>
    </xf>
    <xf numFmtId="0" fontId="15" fillId="3" borderId="0" xfId="0" applyFont="1" applyFill="1"/>
    <xf numFmtId="0" fontId="15" fillId="7" borderId="0" xfId="0" applyFont="1" applyFill="1"/>
    <xf numFmtId="0" fontId="39" fillId="7" borderId="0" xfId="0" applyFont="1" applyFill="1" applyAlignment="1">
      <alignment vertical="top"/>
    </xf>
    <xf numFmtId="0" fontId="15" fillId="7" borderId="0" xfId="13" applyFont="1" applyFill="1" applyAlignment="1">
      <alignment vertical="top"/>
    </xf>
    <xf numFmtId="0" fontId="15" fillId="0" borderId="0" xfId="11" applyFont="1" applyFill="1" applyAlignment="1">
      <alignment horizontal="left"/>
    </xf>
    <xf numFmtId="165" fontId="15" fillId="0" borderId="0" xfId="0" applyNumberFormat="1" applyFont="1" applyBorder="1"/>
    <xf numFmtId="0" fontId="15" fillId="0" borderId="0" xfId="0" applyNumberFormat="1" applyFont="1" applyBorder="1" applyProtection="1"/>
    <xf numFmtId="0" fontId="15" fillId="0" borderId="0" xfId="0" applyNumberFormat="1" applyFont="1" applyBorder="1"/>
    <xf numFmtId="0" fontId="38" fillId="0" borderId="0" xfId="13" applyFont="1" applyProtection="1"/>
    <xf numFmtId="0" fontId="40" fillId="0" borderId="0" xfId="13" applyFont="1" applyProtection="1"/>
    <xf numFmtId="0" fontId="15" fillId="0" borderId="0" xfId="0" applyFont="1" applyAlignment="1" applyProtection="1">
      <alignment vertical="top"/>
    </xf>
    <xf numFmtId="0" fontId="14" fillId="0" borderId="0" xfId="13" applyFont="1" applyFill="1" applyBorder="1" applyAlignment="1" applyProtection="1">
      <alignment horizontal="right" vertical="top"/>
    </xf>
    <xf numFmtId="49" fontId="15" fillId="0" borderId="0" xfId="13" applyNumberFormat="1" applyFont="1" applyFill="1" applyBorder="1" applyAlignment="1" applyProtection="1">
      <alignment horizontal="left" vertical="top"/>
    </xf>
    <xf numFmtId="0" fontId="15" fillId="0" borderId="0" xfId="13" applyFont="1" applyFill="1" applyBorder="1" applyAlignment="1" applyProtection="1">
      <alignment vertical="top"/>
    </xf>
    <xf numFmtId="0" fontId="15" fillId="0" borderId="0" xfId="0" applyFont="1" applyFill="1" applyBorder="1" applyAlignment="1" applyProtection="1">
      <alignment vertical="top"/>
    </xf>
    <xf numFmtId="0" fontId="15" fillId="0" borderId="0" xfId="0" applyFont="1" applyFill="1" applyAlignment="1" applyProtection="1">
      <alignment vertical="top"/>
    </xf>
    <xf numFmtId="0" fontId="41" fillId="0" borderId="0" xfId="13" applyFont="1" applyFill="1" applyBorder="1" applyAlignment="1" applyProtection="1">
      <alignment vertical="top"/>
    </xf>
    <xf numFmtId="0" fontId="15" fillId="0" borderId="0" xfId="0" applyFont="1" applyBorder="1" applyAlignment="1" applyProtection="1">
      <alignment vertical="top"/>
    </xf>
    <xf numFmtId="0" fontId="14" fillId="0" borderId="0" xfId="13" applyFont="1" applyFill="1" applyBorder="1" applyAlignment="1" applyProtection="1">
      <alignment vertical="top"/>
    </xf>
    <xf numFmtId="0" fontId="14" fillId="0" borderId="0" xfId="0" applyFont="1" applyBorder="1" applyAlignment="1" applyProtection="1">
      <alignment vertical="top"/>
    </xf>
    <xf numFmtId="164" fontId="15" fillId="0" borderId="0" xfId="0" applyNumberFormat="1" applyFont="1" applyBorder="1" applyAlignment="1" applyProtection="1">
      <alignment vertical="top"/>
    </xf>
    <xf numFmtId="9" fontId="15" fillId="0" borderId="0" xfId="13" applyNumberFormat="1" applyFont="1" applyFill="1" applyBorder="1" applyAlignment="1" applyProtection="1">
      <alignment horizontal="center" vertical="top"/>
    </xf>
    <xf numFmtId="165" fontId="15" fillId="0" borderId="0" xfId="0" applyNumberFormat="1" applyFont="1" applyBorder="1" applyAlignment="1" applyProtection="1">
      <alignment vertical="top"/>
    </xf>
    <xf numFmtId="9" fontId="15" fillId="0" borderId="0" xfId="8" applyNumberFormat="1" applyFont="1" applyFill="1" applyBorder="1" applyAlignment="1" applyProtection="1">
      <alignment horizontal="center" vertical="top"/>
    </xf>
    <xf numFmtId="0" fontId="37" fillId="0" borderId="0" xfId="0" applyFont="1" applyBorder="1" applyAlignment="1" applyProtection="1">
      <alignment vertical="top"/>
    </xf>
    <xf numFmtId="0" fontId="15" fillId="0" borderId="0" xfId="0" applyFont="1" applyBorder="1" applyAlignment="1" applyProtection="1">
      <alignment horizontal="left" vertical="top" wrapText="1"/>
    </xf>
    <xf numFmtId="165" fontId="15" fillId="0" borderId="0" xfId="1" applyNumberFormat="1" applyFont="1" applyBorder="1" applyAlignment="1" applyProtection="1">
      <alignment vertical="top"/>
    </xf>
    <xf numFmtId="0" fontId="38" fillId="0" borderId="3" xfId="0" applyFont="1" applyBorder="1" applyAlignment="1" applyProtection="1">
      <alignment vertical="center"/>
    </xf>
    <xf numFmtId="0" fontId="38" fillId="0" borderId="0" xfId="0" applyFont="1" applyBorder="1" applyAlignment="1" applyProtection="1"/>
    <xf numFmtId="0" fontId="15" fillId="0" borderId="0" xfId="11" applyFont="1" applyFill="1" applyAlignment="1">
      <alignment vertical="top"/>
    </xf>
    <xf numFmtId="0" fontId="17" fillId="0" borderId="0" xfId="11" applyFont="1" applyFill="1" applyAlignment="1">
      <alignment vertical="top"/>
    </xf>
    <xf numFmtId="0" fontId="29" fillId="7" borderId="0" xfId="11" applyFont="1" applyFill="1" applyAlignment="1">
      <alignment vertical="top"/>
    </xf>
    <xf numFmtId="0" fontId="12" fillId="4" borderId="0" xfId="11" applyFont="1" applyFill="1" applyAlignment="1">
      <alignment vertical="center"/>
    </xf>
    <xf numFmtId="0" fontId="30" fillId="4" borderId="0" xfId="11" applyFont="1" applyFill="1" applyAlignment="1">
      <alignment vertical="top"/>
    </xf>
    <xf numFmtId="0" fontId="12" fillId="4" borderId="0" xfId="11" applyFont="1" applyFill="1" applyAlignment="1">
      <alignment vertical="top"/>
    </xf>
    <xf numFmtId="0" fontId="31" fillId="0" borderId="0" xfId="11" applyFont="1" applyAlignment="1">
      <alignment vertical="top"/>
    </xf>
    <xf numFmtId="0" fontId="30" fillId="0" borderId="0" xfId="11" applyFont="1" applyAlignment="1">
      <alignment vertical="top"/>
    </xf>
    <xf numFmtId="0" fontId="12" fillId="4" borderId="16" xfId="11" applyFont="1" applyFill="1" applyBorder="1" applyAlignment="1">
      <alignment vertical="center"/>
    </xf>
    <xf numFmtId="0" fontId="30" fillId="4" borderId="17" xfId="11" applyFont="1" applyFill="1" applyBorder="1" applyAlignment="1">
      <alignment vertical="top"/>
    </xf>
    <xf numFmtId="0" fontId="12" fillId="4" borderId="17" xfId="11" applyFont="1" applyFill="1" applyBorder="1" applyAlignment="1">
      <alignment vertical="top"/>
    </xf>
    <xf numFmtId="0" fontId="30" fillId="4" borderId="18" xfId="11" applyFont="1" applyFill="1" applyBorder="1" applyAlignment="1">
      <alignment vertical="top"/>
    </xf>
    <xf numFmtId="0" fontId="30" fillId="4" borderId="0" xfId="11" applyFont="1" applyFill="1"/>
    <xf numFmtId="0" fontId="12" fillId="4" borderId="0" xfId="11" applyFont="1" applyFill="1"/>
    <xf numFmtId="0" fontId="42" fillId="10" borderId="16" xfId="0" applyFont="1" applyFill="1" applyBorder="1" applyAlignment="1">
      <alignment vertical="center"/>
    </xf>
    <xf numFmtId="0" fontId="42" fillId="10" borderId="17" xfId="0" applyFont="1" applyFill="1" applyBorder="1"/>
    <xf numFmtId="0" fontId="43" fillId="10" borderId="17" xfId="0" applyFont="1" applyFill="1" applyBorder="1"/>
    <xf numFmtId="0" fontId="31" fillId="10" borderId="17" xfId="0" applyFont="1" applyFill="1" applyBorder="1"/>
    <xf numFmtId="0" fontId="31" fillId="10" borderId="18" xfId="0" applyFont="1" applyFill="1" applyBorder="1"/>
    <xf numFmtId="0" fontId="42" fillId="4" borderId="0" xfId="11" applyFont="1" applyFill="1" applyAlignment="1">
      <alignment vertical="center"/>
    </xf>
    <xf numFmtId="0" fontId="43" fillId="4" borderId="0" xfId="11" applyFont="1" applyFill="1" applyAlignment="1">
      <alignment vertical="top"/>
    </xf>
    <xf numFmtId="0" fontId="31" fillId="10" borderId="0" xfId="11" applyFont="1" applyFill="1" applyAlignment="1">
      <alignment vertical="center"/>
    </xf>
    <xf numFmtId="0" fontId="31" fillId="0" borderId="0" xfId="11" applyFont="1" applyAlignment="1">
      <alignment vertical="center"/>
    </xf>
    <xf numFmtId="0" fontId="30" fillId="4" borderId="0" xfId="11" applyFont="1" applyFill="1" applyAlignment="1">
      <alignment vertical="center"/>
    </xf>
    <xf numFmtId="0" fontId="30" fillId="0" borderId="0" xfId="11" applyFont="1" applyAlignment="1">
      <alignment vertical="center"/>
    </xf>
    <xf numFmtId="0" fontId="31" fillId="0" borderId="0" xfId="11" applyFont="1"/>
    <xf numFmtId="0" fontId="43" fillId="10" borderId="0" xfId="11" applyFont="1" applyFill="1"/>
    <xf numFmtId="0" fontId="43" fillId="0" borderId="0" xfId="11" applyFont="1"/>
    <xf numFmtId="0" fontId="31" fillId="10" borderId="0" xfId="11" applyFont="1" applyFill="1"/>
    <xf numFmtId="0" fontId="29" fillId="7" borderId="0" xfId="11" applyFont="1" applyFill="1" applyAlignment="1">
      <alignment horizontal="left"/>
    </xf>
    <xf numFmtId="0" fontId="12" fillId="4" borderId="0" xfId="11" applyFont="1" applyFill="1" applyAlignment="1">
      <alignment horizontal="left" vertical="center"/>
    </xf>
    <xf numFmtId="0" fontId="39" fillId="7" borderId="0" xfId="0" applyFont="1" applyFill="1" applyAlignment="1">
      <alignment horizontal="left"/>
    </xf>
    <xf numFmtId="0" fontId="39" fillId="0" borderId="0" xfId="0" applyFont="1" applyAlignment="1">
      <alignment horizontal="left"/>
    </xf>
    <xf numFmtId="0" fontId="15" fillId="0" borderId="0" xfId="11" applyFont="1" applyAlignment="1">
      <alignment horizontal="left"/>
    </xf>
    <xf numFmtId="0" fontId="15" fillId="7" borderId="0" xfId="0" applyFont="1" applyFill="1" applyAlignment="1">
      <alignment horizontal="left"/>
    </xf>
    <xf numFmtId="0" fontId="15" fillId="7" borderId="0" xfId="11" applyFont="1" applyFill="1" applyAlignment="1">
      <alignment horizontal="left" vertical="top"/>
    </xf>
    <xf numFmtId="0" fontId="42" fillId="10" borderId="0" xfId="11" applyFont="1" applyFill="1" applyAlignment="1">
      <alignment horizontal="left" vertical="top"/>
    </xf>
    <xf numFmtId="0" fontId="42" fillId="4" borderId="0" xfId="11" applyFont="1" applyFill="1" applyAlignment="1">
      <alignment horizontal="left" vertical="center"/>
    </xf>
    <xf numFmtId="0" fontId="0" fillId="0" borderId="0" xfId="0" applyAlignment="1">
      <alignment horizontal="left" vertical="top"/>
    </xf>
    <xf numFmtId="0" fontId="15" fillId="10" borderId="0" xfId="0" applyFont="1" applyFill="1" applyAlignment="1" applyProtection="1">
      <alignment vertical="top"/>
    </xf>
    <xf numFmtId="0" fontId="42" fillId="10" borderId="0" xfId="0" applyFont="1" applyFill="1" applyBorder="1" applyAlignment="1" applyProtection="1">
      <alignment vertical="top"/>
    </xf>
    <xf numFmtId="0" fontId="31" fillId="10" borderId="0" xfId="0" applyFont="1" applyFill="1" applyAlignment="1" applyProtection="1">
      <alignment vertical="top"/>
    </xf>
    <xf numFmtId="0" fontId="31" fillId="0" borderId="0" xfId="0" applyFont="1" applyAlignment="1" applyProtection="1">
      <alignment vertical="top"/>
    </xf>
    <xf numFmtId="165" fontId="15" fillId="0" borderId="0" xfId="0" applyNumberFormat="1" applyFont="1" applyBorder="1" applyAlignment="1">
      <alignment wrapText="1"/>
    </xf>
    <xf numFmtId="165" fontId="15"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175" fontId="14" fillId="11" borderId="1" xfId="7" applyNumberFormat="1" applyFont="1" applyFill="1" applyBorder="1" applyAlignment="1" applyProtection="1"/>
    <xf numFmtId="175" fontId="15" fillId="11" borderId="1" xfId="7" applyNumberFormat="1" applyFont="1" applyFill="1" applyBorder="1" applyAlignment="1" applyProtection="1"/>
    <xf numFmtId="0" fontId="42" fillId="10" borderId="8" xfId="11" applyFont="1" applyFill="1" applyBorder="1" applyAlignment="1">
      <alignment horizontal="left" vertical="top"/>
    </xf>
    <xf numFmtId="0" fontId="31" fillId="10" borderId="8" xfId="11" applyFont="1" applyFill="1" applyBorder="1"/>
    <xf numFmtId="0" fontId="31" fillId="10" borderId="9" xfId="11" applyFont="1" applyFill="1" applyBorder="1"/>
    <xf numFmtId="0" fontId="18" fillId="0" borderId="0" xfId="13" applyFont="1" applyFill="1" applyAlignment="1"/>
    <xf numFmtId="0" fontId="31" fillId="3" borderId="0" xfId="13" applyFont="1" applyFill="1" applyAlignment="1"/>
    <xf numFmtId="0" fontId="12" fillId="4" borderId="0" xfId="0" applyFont="1" applyFill="1" applyAlignment="1">
      <alignment horizontal="left"/>
    </xf>
    <xf numFmtId="0" fontId="31" fillId="4" borderId="0" xfId="0" applyFont="1" applyFill="1" applyAlignment="1">
      <alignment horizontal="left"/>
    </xf>
    <xf numFmtId="0" fontId="12" fillId="4" borderId="0" xfId="13" applyFont="1" applyFill="1" applyAlignment="1"/>
    <xf numFmtId="171" fontId="12" fillId="4" borderId="0" xfId="5" applyNumberFormat="1" applyFont="1" applyFill="1" applyAlignment="1"/>
    <xf numFmtId="0" fontId="31" fillId="0" borderId="0" xfId="13" applyFont="1" applyFill="1" applyAlignment="1">
      <alignment wrapText="1"/>
    </xf>
    <xf numFmtId="0" fontId="31" fillId="0" borderId="0" xfId="13" applyFont="1" applyFill="1" applyAlignment="1"/>
    <xf numFmtId="0" fontId="30" fillId="4" borderId="0" xfId="0" quotePrefix="1" applyFont="1" applyFill="1" applyAlignment="1">
      <alignment horizontal="left"/>
    </xf>
    <xf numFmtId="0" fontId="30" fillId="4" borderId="0" xfId="0" applyFont="1" applyFill="1" applyAlignment="1">
      <alignment horizontal="left"/>
    </xf>
    <xf numFmtId="0" fontId="31" fillId="10" borderId="5" xfId="13" applyFont="1" applyFill="1" applyBorder="1" applyAlignment="1"/>
    <xf numFmtId="171" fontId="31" fillId="10" borderId="6" xfId="13" applyNumberFormat="1" applyFont="1" applyFill="1" applyBorder="1" applyAlignment="1">
      <alignment horizontal="center"/>
    </xf>
    <xf numFmtId="0" fontId="31" fillId="0" borderId="0" xfId="0" applyFont="1" applyAlignment="1" applyProtection="1">
      <alignment horizontal="left"/>
    </xf>
    <xf numFmtId="0" fontId="12" fillId="4" borderId="0" xfId="0" applyFont="1" applyFill="1" applyAlignment="1" applyProtection="1">
      <alignment horizontal="left"/>
    </xf>
    <xf numFmtId="0" fontId="30" fillId="4" borderId="0" xfId="0" applyFont="1" applyFill="1" applyAlignment="1" applyProtection="1">
      <alignment horizontal="left"/>
    </xf>
    <xf numFmtId="0" fontId="31" fillId="10" borderId="8" xfId="13" applyFont="1" applyFill="1" applyBorder="1" applyAlignment="1"/>
    <xf numFmtId="171" fontId="31" fillId="10" borderId="9" xfId="13" applyNumberFormat="1" applyFont="1" applyFill="1" applyBorder="1" applyAlignment="1">
      <alignment horizontal="center"/>
    </xf>
    <xf numFmtId="0" fontId="31" fillId="0" borderId="0" xfId="0" applyFont="1"/>
    <xf numFmtId="0" fontId="30" fillId="4" borderId="0" xfId="13" applyFont="1" applyFill="1" applyAlignment="1"/>
    <xf numFmtId="169" fontId="30" fillId="4" borderId="0" xfId="1" applyNumberFormat="1" applyFont="1" applyFill="1" applyAlignment="1"/>
    <xf numFmtId="169" fontId="12" fillId="4" borderId="0" xfId="1" applyNumberFormat="1" applyFont="1" applyFill="1" applyAlignment="1"/>
    <xf numFmtId="0" fontId="12" fillId="4" borderId="0" xfId="13" applyFont="1" applyFill="1" applyAlignment="1" applyProtection="1"/>
    <xf numFmtId="0" fontId="15" fillId="0" borderId="1" xfId="0" applyNumberFormat="1" applyFont="1" applyFill="1" applyBorder="1" applyAlignment="1" applyProtection="1">
      <alignment horizontal="left" vertical="top" wrapText="1"/>
      <protection locked="0"/>
    </xf>
    <xf numFmtId="49" fontId="15" fillId="0" borderId="1" xfId="0" applyNumberFormat="1" applyFont="1" applyFill="1" applyBorder="1" applyAlignment="1">
      <alignment horizontal="left" vertical="top" wrapText="1"/>
    </xf>
    <xf numFmtId="165" fontId="15" fillId="0" borderId="1" xfId="0" applyNumberFormat="1" applyFont="1" applyFill="1" applyBorder="1" applyAlignment="1">
      <alignment horizontal="left" vertical="top" wrapText="1"/>
    </xf>
    <xf numFmtId="42" fontId="15" fillId="0" borderId="1" xfId="0" applyNumberFormat="1"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4" fillId="12" borderId="1" xfId="0" applyNumberFormat="1" applyFont="1" applyFill="1" applyBorder="1" applyAlignment="1" applyProtection="1">
      <alignment horizontal="left" vertical="top" wrapText="1"/>
    </xf>
    <xf numFmtId="0" fontId="15" fillId="0" borderId="0" xfId="0" applyFont="1" applyFill="1"/>
    <xf numFmtId="0" fontId="15" fillId="0" borderId="0" xfId="0" applyFont="1" applyFill="1" applyBorder="1" applyProtection="1"/>
    <xf numFmtId="0" fontId="44" fillId="0" borderId="0" xfId="0" applyFont="1" applyFill="1" applyBorder="1" applyProtection="1">
      <protection locked="0"/>
    </xf>
    <xf numFmtId="0" fontId="15" fillId="0" borderId="0" xfId="0" applyFont="1" applyFill="1" applyBorder="1" applyProtection="1">
      <protection locked="0"/>
    </xf>
    <xf numFmtId="0" fontId="39" fillId="0" borderId="0" xfId="0" applyFont="1" applyFill="1" applyAlignment="1">
      <alignment horizontal="left"/>
    </xf>
    <xf numFmtId="0" fontId="31" fillId="0" borderId="0" xfId="11" applyFont="1" applyFill="1" applyAlignment="1">
      <alignment vertical="center"/>
    </xf>
    <xf numFmtId="0" fontId="43" fillId="0" borderId="0" xfId="11" applyFont="1" applyFill="1"/>
    <xf numFmtId="165" fontId="15" fillId="0" borderId="0" xfId="0" applyNumberFormat="1" applyFont="1" applyFill="1" applyBorder="1" applyAlignment="1">
      <alignment horizontal="left"/>
    </xf>
    <xf numFmtId="0" fontId="45" fillId="0" borderId="0" xfId="0" applyFont="1" applyFill="1" applyAlignment="1">
      <alignment wrapText="1"/>
    </xf>
    <xf numFmtId="0" fontId="15" fillId="0" borderId="0" xfId="11" applyFont="1" applyFill="1" applyAlignment="1">
      <alignment wrapText="1"/>
    </xf>
    <xf numFmtId="165" fontId="15" fillId="0" borderId="0" xfId="0" applyNumberFormat="1" applyFont="1" applyFill="1" applyBorder="1" applyAlignment="1" applyProtection="1">
      <alignment vertical="top"/>
    </xf>
    <xf numFmtId="0" fontId="15" fillId="0" borderId="0" xfId="0" applyFont="1" applyFill="1" applyProtection="1"/>
    <xf numFmtId="0" fontId="18" fillId="3" borderId="0" xfId="13" applyFont="1" applyFill="1" applyAlignment="1"/>
    <xf numFmtId="0" fontId="18" fillId="0" borderId="0" xfId="0" applyFont="1" applyAlignment="1">
      <alignment wrapText="1"/>
    </xf>
    <xf numFmtId="0" fontId="18" fillId="0" borderId="0" xfId="0" applyFont="1"/>
    <xf numFmtId="0" fontId="15" fillId="0" borderId="2" xfId="0" applyFont="1" applyFill="1" applyBorder="1"/>
    <xf numFmtId="0" fontId="15" fillId="0" borderId="8" xfId="13" applyFont="1" applyFill="1" applyBorder="1" applyAlignment="1" applyProtection="1"/>
    <xf numFmtId="0" fontId="39" fillId="7" borderId="0" xfId="0" quotePrefix="1" applyFont="1" applyFill="1" applyAlignment="1">
      <alignment horizontal="left"/>
    </xf>
    <xf numFmtId="0" fontId="15" fillId="0" borderId="0" xfId="0" applyFont="1" applyFill="1" applyAlignment="1">
      <alignment wrapText="1"/>
    </xf>
    <xf numFmtId="0" fontId="14" fillId="0" borderId="0" xfId="13" applyFont="1" applyFill="1" applyBorder="1" applyAlignment="1"/>
    <xf numFmtId="0" fontId="14" fillId="0" borderId="2" xfId="0" applyFont="1" applyFill="1" applyBorder="1" applyAlignment="1"/>
    <xf numFmtId="0" fontId="14" fillId="0" borderId="8" xfId="0" applyFont="1" applyFill="1" applyBorder="1"/>
    <xf numFmtId="0" fontId="15" fillId="0" borderId="12" xfId="13" applyFont="1" applyFill="1" applyBorder="1" applyAlignment="1"/>
    <xf numFmtId="0" fontId="15" fillId="0" borderId="12" xfId="0" applyFont="1" applyBorder="1" applyAlignment="1">
      <alignment horizontal="left"/>
    </xf>
    <xf numFmtId="0" fontId="14" fillId="0" borderId="0" xfId="11" applyFont="1" applyFill="1" applyAlignment="1">
      <alignment vertical="top"/>
    </xf>
    <xf numFmtId="0" fontId="14" fillId="0" borderId="0" xfId="13" applyFont="1" applyFill="1" applyBorder="1" applyAlignment="1">
      <alignment horizontal="left"/>
    </xf>
    <xf numFmtId="0" fontId="11" fillId="3" borderId="0" xfId="13" applyFont="1" applyFill="1" applyAlignment="1"/>
    <xf numFmtId="0" fontId="11" fillId="0" borderId="0" xfId="13" applyFont="1" applyFill="1" applyAlignment="1">
      <alignment wrapText="1"/>
    </xf>
    <xf numFmtId="0" fontId="11" fillId="0" borderId="0" xfId="13" applyFont="1" applyFill="1" applyAlignment="1"/>
    <xf numFmtId="169" fontId="15" fillId="0" borderId="1" xfId="7" applyNumberFormat="1" applyFont="1" applyFill="1" applyBorder="1" applyAlignment="1" applyProtection="1"/>
    <xf numFmtId="0" fontId="15" fillId="0" borderId="11" xfId="0" applyFont="1" applyBorder="1" applyAlignment="1">
      <alignment horizontal="left"/>
    </xf>
    <xf numFmtId="0" fontId="14" fillId="0" borderId="1" xfId="0" applyFont="1" applyFill="1" applyBorder="1" applyAlignment="1">
      <alignment vertical="top" wrapText="1"/>
    </xf>
    <xf numFmtId="0" fontId="14" fillId="0" borderId="1" xfId="13" applyFont="1" applyFill="1" applyBorder="1" applyAlignment="1">
      <alignment vertical="top" wrapText="1"/>
    </xf>
    <xf numFmtId="0" fontId="14" fillId="0" borderId="2" xfId="13" applyFont="1" applyFill="1" applyBorder="1" applyAlignment="1">
      <alignment vertical="top" wrapText="1"/>
    </xf>
    <xf numFmtId="0" fontId="14" fillId="3" borderId="0" xfId="13" applyFont="1" applyFill="1" applyAlignment="1">
      <alignment vertical="top" wrapText="1"/>
    </xf>
    <xf numFmtId="0" fontId="14" fillId="0" borderId="0" xfId="13" applyFont="1" applyFill="1" applyAlignment="1">
      <alignment vertical="top" wrapText="1"/>
    </xf>
    <xf numFmtId="0" fontId="14" fillId="3" borderId="0" xfId="13" applyFont="1" applyFill="1" applyAlignment="1"/>
    <xf numFmtId="0" fontId="14" fillId="7" borderId="1" xfId="0" applyFont="1" applyFill="1" applyBorder="1" applyAlignment="1">
      <alignment horizontal="left" vertical="top" wrapText="1"/>
    </xf>
    <xf numFmtId="0" fontId="11" fillId="0" borderId="0" xfId="0" applyFont="1"/>
    <xf numFmtId="0" fontId="14" fillId="3" borderId="0" xfId="13" applyFont="1" applyFill="1" applyAlignment="1">
      <alignment vertical="top"/>
    </xf>
    <xf numFmtId="0" fontId="14" fillId="0" borderId="0" xfId="13" applyFont="1" applyFill="1" applyAlignment="1">
      <alignment vertical="top"/>
    </xf>
    <xf numFmtId="0" fontId="14" fillId="0" borderId="1" xfId="0" applyFont="1" applyBorder="1" applyAlignment="1">
      <alignment horizontal="left" vertical="top" wrapText="1"/>
    </xf>
    <xf numFmtId="175" fontId="15" fillId="7" borderId="1" xfId="7" applyNumberFormat="1" applyFont="1" applyFill="1" applyBorder="1" applyAlignment="1" applyProtection="1"/>
    <xf numFmtId="168" fontId="14" fillId="0" borderId="0" xfId="13" applyNumberFormat="1" applyFont="1" applyFill="1" applyAlignment="1"/>
    <xf numFmtId="0" fontId="14" fillId="0" borderId="0" xfId="13" applyFont="1" applyFill="1" applyAlignment="1">
      <alignment wrapText="1"/>
    </xf>
    <xf numFmtId="0" fontId="38" fillId="7" borderId="0" xfId="11" applyFont="1" applyFill="1"/>
    <xf numFmtId="0" fontId="16" fillId="7" borderId="0" xfId="11" applyFont="1" applyFill="1" applyAlignment="1">
      <alignment vertical="top"/>
    </xf>
    <xf numFmtId="0" fontId="30" fillId="0" borderId="0" xfId="11" applyFont="1" applyFill="1" applyAlignment="1">
      <alignment vertical="top"/>
    </xf>
    <xf numFmtId="0" fontId="31" fillId="0" borderId="0" xfId="11" applyFont="1" applyFill="1" applyAlignment="1">
      <alignment vertical="top"/>
    </xf>
    <xf numFmtId="0" fontId="40" fillId="0" borderId="0" xfId="11" applyFont="1" applyFill="1" applyAlignment="1">
      <alignment vertical="top"/>
    </xf>
    <xf numFmtId="0" fontId="40" fillId="0" borderId="0" xfId="11" applyFont="1" applyAlignment="1">
      <alignment vertical="top"/>
    </xf>
    <xf numFmtId="0" fontId="30" fillId="10" borderId="0" xfId="13" applyFont="1" applyFill="1" applyAlignment="1">
      <alignment wrapText="1"/>
    </xf>
    <xf numFmtId="0" fontId="31" fillId="10" borderId="0" xfId="13" applyFont="1" applyFill="1" applyAlignment="1"/>
    <xf numFmtId="0" fontId="46" fillId="4" borderId="0" xfId="0" applyFont="1" applyFill="1" applyAlignment="1">
      <alignment horizontal="left"/>
    </xf>
    <xf numFmtId="0" fontId="47" fillId="4" borderId="0" xfId="0" quotePrefix="1" applyFont="1" applyFill="1" applyAlignment="1">
      <alignment horizontal="left"/>
    </xf>
    <xf numFmtId="0" fontId="47" fillId="4" borderId="0" xfId="0" applyFont="1" applyFill="1" applyAlignment="1">
      <alignment horizontal="left"/>
    </xf>
    <xf numFmtId="169" fontId="14" fillId="11" borderId="15" xfId="1" applyNumberFormat="1" applyFont="1" applyFill="1" applyBorder="1" applyAlignment="1"/>
    <xf numFmtId="169" fontId="14" fillId="6" borderId="15" xfId="1" applyNumberFormat="1" applyFont="1" applyFill="1" applyBorder="1" applyAlignment="1" applyProtection="1"/>
    <xf numFmtId="0" fontId="15" fillId="0" borderId="1" xfId="0" applyFont="1" applyBorder="1"/>
    <xf numFmtId="0" fontId="15" fillId="0" borderId="1" xfId="0" applyFont="1" applyBorder="1" applyAlignment="1">
      <alignment horizontal="right"/>
    </xf>
    <xf numFmtId="0" fontId="15" fillId="7" borderId="0" xfId="0" applyFont="1" applyFill="1" applyAlignment="1">
      <alignment vertical="top"/>
    </xf>
    <xf numFmtId="0" fontId="14" fillId="0" borderId="0" xfId="0" applyFont="1" applyFill="1" applyBorder="1" applyAlignment="1" applyProtection="1">
      <alignment vertical="top"/>
    </xf>
    <xf numFmtId="173" fontId="15" fillId="0" borderId="0" xfId="8" applyNumberFormat="1" applyFont="1" applyFill="1" applyBorder="1" applyAlignment="1" applyProtection="1">
      <alignment horizontal="center" vertical="top"/>
    </xf>
    <xf numFmtId="0" fontId="38" fillId="0" borderId="0" xfId="0" applyFont="1" applyFill="1" applyBorder="1" applyAlignment="1" applyProtection="1">
      <alignment vertical="center"/>
    </xf>
    <xf numFmtId="0" fontId="38" fillId="0" borderId="0" xfId="0" applyFont="1" applyFill="1" applyBorder="1" applyAlignment="1" applyProtection="1"/>
    <xf numFmtId="171" fontId="31" fillId="10" borderId="8" xfId="13" applyNumberFormat="1" applyFont="1" applyFill="1" applyBorder="1" applyAlignment="1">
      <alignment horizont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indent="4"/>
    </xf>
    <xf numFmtId="0" fontId="21" fillId="0" borderId="0" xfId="4" applyFont="1" applyAlignment="1" applyProtection="1">
      <alignment vertical="center"/>
    </xf>
    <xf numFmtId="0" fontId="15" fillId="0" borderId="0" xfId="0" applyFont="1" applyAlignment="1">
      <alignment horizontal="left" vertical="center" indent="1"/>
    </xf>
    <xf numFmtId="0" fontId="17" fillId="0" borderId="0" xfId="11" applyFont="1" applyFill="1"/>
    <xf numFmtId="0" fontId="38" fillId="0" borderId="0" xfId="0" applyFont="1" applyProtection="1"/>
    <xf numFmtId="0" fontId="13" fillId="4" borderId="30" xfId="0" applyFont="1" applyFill="1" applyBorder="1" applyAlignment="1" applyProtection="1">
      <alignment horizontal="left"/>
    </xf>
    <xf numFmtId="0" fontId="17" fillId="4" borderId="25" xfId="0" applyFont="1" applyFill="1" applyBorder="1" applyAlignment="1" applyProtection="1">
      <alignment horizontal="left"/>
    </xf>
    <xf numFmtId="0" fontId="25" fillId="4" borderId="25" xfId="0" applyFont="1" applyFill="1" applyBorder="1" applyAlignment="1" applyProtection="1">
      <alignment horizontal="left"/>
    </xf>
    <xf numFmtId="0" fontId="26" fillId="4" borderId="25" xfId="0" applyFont="1" applyFill="1" applyBorder="1" applyAlignment="1" applyProtection="1">
      <alignment horizontal="left"/>
    </xf>
    <xf numFmtId="0" fontId="17" fillId="4" borderId="26" xfId="0" applyFont="1" applyFill="1" applyBorder="1" applyAlignment="1" applyProtection="1">
      <alignment horizontal="left"/>
    </xf>
    <xf numFmtId="0" fontId="33" fillId="0" borderId="0" xfId="0" applyFont="1" applyAlignment="1" applyProtection="1">
      <alignment horizontal="left"/>
    </xf>
    <xf numFmtId="0" fontId="33" fillId="0" borderId="0" xfId="11" applyFont="1" applyFill="1" applyAlignment="1">
      <alignment vertical="top"/>
    </xf>
    <xf numFmtId="0" fontId="14" fillId="0" borderId="1" xfId="0" applyFont="1" applyFill="1" applyBorder="1" applyAlignment="1">
      <alignment horizontal="left" vertical="top" wrapText="1"/>
    </xf>
    <xf numFmtId="0" fontId="14" fillId="0" borderId="1" xfId="13" applyFont="1" applyFill="1" applyBorder="1" applyAlignment="1">
      <alignment horizontal="left" vertical="top" wrapText="1"/>
    </xf>
    <xf numFmtId="0" fontId="14" fillId="0" borderId="2" xfId="13" applyFont="1" applyFill="1" applyBorder="1" applyAlignment="1">
      <alignment horizontal="left" vertical="top" wrapText="1"/>
    </xf>
    <xf numFmtId="0" fontId="42" fillId="4" borderId="0" xfId="0" applyFont="1" applyFill="1" applyAlignment="1">
      <alignment horizontal="left"/>
    </xf>
    <xf numFmtId="0" fontId="14" fillId="0" borderId="2" xfId="0" applyFont="1" applyFill="1" applyBorder="1" applyAlignment="1">
      <alignment horizontal="left" vertical="top" wrapText="1"/>
    </xf>
    <xf numFmtId="0" fontId="9" fillId="0" borderId="0" xfId="0" applyFont="1" applyFill="1"/>
    <xf numFmtId="0" fontId="9" fillId="0" borderId="0" xfId="0" applyFont="1" applyBorder="1" applyAlignment="1"/>
    <xf numFmtId="0" fontId="49" fillId="0" borderId="0" xfId="13" applyFont="1" applyFill="1" applyProtection="1"/>
    <xf numFmtId="0" fontId="49" fillId="0" borderId="0" xfId="13" applyFont="1" applyProtection="1"/>
    <xf numFmtId="0" fontId="49" fillId="0" borderId="0" xfId="0" applyFont="1"/>
    <xf numFmtId="0" fontId="23" fillId="14" borderId="1" xfId="0" applyNumberFormat="1" applyFont="1" applyFill="1" applyBorder="1" applyAlignment="1">
      <alignment horizontal="left" vertical="top" wrapText="1"/>
    </xf>
    <xf numFmtId="0" fontId="14" fillId="15" borderId="1" xfId="0" applyNumberFormat="1" applyFont="1" applyFill="1" applyBorder="1" applyAlignment="1">
      <alignment horizontal="left" vertical="top" wrapText="1"/>
    </xf>
    <xf numFmtId="0" fontId="23" fillId="15" borderId="1" xfId="0" applyNumberFormat="1" applyFont="1" applyFill="1" applyBorder="1" applyAlignment="1">
      <alignment horizontal="left" vertical="top" wrapText="1"/>
    </xf>
    <xf numFmtId="0" fontId="23" fillId="16" borderId="1" xfId="0" applyNumberFormat="1" applyFont="1" applyFill="1" applyBorder="1" applyAlignment="1">
      <alignment horizontal="left" vertical="top" wrapText="1"/>
    </xf>
    <xf numFmtId="0" fontId="14" fillId="0" borderId="0" xfId="0" applyNumberFormat="1" applyFont="1" applyBorder="1" applyAlignment="1">
      <alignment horizontal="left" vertical="top" wrapText="1"/>
    </xf>
    <xf numFmtId="0" fontId="14" fillId="0" borderId="0" xfId="0" applyNumberFormat="1" applyFont="1" applyBorder="1" applyAlignment="1">
      <alignment horizontal="left" vertical="top"/>
    </xf>
    <xf numFmtId="0" fontId="32" fillId="0" borderId="0" xfId="13" applyFont="1" applyFill="1" applyBorder="1" applyAlignment="1">
      <alignment horizontal="right"/>
    </xf>
    <xf numFmtId="178" fontId="2" fillId="0" borderId="0" xfId="16">
      <alignment vertical="top"/>
    </xf>
    <xf numFmtId="178" fontId="54" fillId="0" borderId="0" xfId="16" applyFont="1">
      <alignment vertical="top"/>
    </xf>
    <xf numFmtId="178" fontId="55" fillId="0" borderId="0" xfId="16" applyFont="1">
      <alignment vertical="top"/>
    </xf>
    <xf numFmtId="178" fontId="2" fillId="0" borderId="0" xfId="16" applyFill="1" applyBorder="1">
      <alignment vertical="top"/>
    </xf>
    <xf numFmtId="178" fontId="58" fillId="0" borderId="0" xfId="16" applyFont="1" applyBorder="1">
      <alignment vertical="top"/>
    </xf>
    <xf numFmtId="178" fontId="61" fillId="0" borderId="0" xfId="16" applyFont="1">
      <alignment vertical="top"/>
    </xf>
    <xf numFmtId="178" fontId="61" fillId="0" borderId="42" xfId="16" applyFont="1" applyBorder="1">
      <alignment vertical="top"/>
    </xf>
    <xf numFmtId="178" fontId="61" fillId="0" borderId="0" xfId="16" applyFont="1" applyBorder="1">
      <alignment vertical="top"/>
    </xf>
    <xf numFmtId="178" fontId="53" fillId="0" borderId="0" xfId="16" applyFont="1">
      <alignment vertical="top"/>
    </xf>
    <xf numFmtId="178" fontId="54" fillId="19" borderId="53" xfId="16" applyFont="1" applyFill="1" applyBorder="1">
      <alignment vertical="top"/>
    </xf>
    <xf numFmtId="179" fontId="2" fillId="0" borderId="0" xfId="16" applyNumberFormat="1">
      <alignment vertical="top"/>
    </xf>
    <xf numFmtId="179" fontId="63" fillId="0" borderId="0" xfId="19" applyNumberFormat="1" applyFont="1">
      <alignment vertical="top"/>
    </xf>
    <xf numFmtId="178" fontId="63" fillId="0" borderId="0" xfId="19" applyFont="1">
      <alignment vertical="top"/>
    </xf>
    <xf numFmtId="179" fontId="55" fillId="0" borderId="0" xfId="16" applyNumberFormat="1" applyFont="1">
      <alignment vertical="top"/>
    </xf>
    <xf numFmtId="179" fontId="55" fillId="0" borderId="0" xfId="19" applyNumberFormat="1" applyFont="1">
      <alignment vertical="top"/>
    </xf>
    <xf numFmtId="178" fontId="55" fillId="0" borderId="0" xfId="19" applyFont="1">
      <alignment vertical="top"/>
    </xf>
    <xf numFmtId="178" fontId="59" fillId="0" borderId="0" xfId="19" applyFont="1">
      <alignment vertical="top"/>
    </xf>
    <xf numFmtId="179" fontId="55" fillId="0" borderId="0" xfId="16" applyNumberFormat="1" applyFont="1" applyFill="1">
      <alignment vertical="top"/>
    </xf>
    <xf numFmtId="180" fontId="55" fillId="0" borderId="0" xfId="18" applyFont="1">
      <alignment vertical="top"/>
    </xf>
    <xf numFmtId="178" fontId="54" fillId="0" borderId="0" xfId="16" applyFont="1" applyFill="1">
      <alignment vertical="top"/>
    </xf>
    <xf numFmtId="178" fontId="63" fillId="0" borderId="0" xfId="16" applyFont="1">
      <alignment vertical="top"/>
    </xf>
    <xf numFmtId="178" fontId="64" fillId="0" borderId="0" xfId="16" applyFont="1">
      <alignment vertical="top"/>
    </xf>
    <xf numFmtId="179" fontId="60" fillId="0" borderId="0" xfId="16" applyNumberFormat="1" applyFont="1" applyFill="1">
      <alignment vertical="top"/>
    </xf>
    <xf numFmtId="178" fontId="60" fillId="0" borderId="0" xfId="16" applyFont="1" applyFill="1">
      <alignment vertical="top"/>
    </xf>
    <xf numFmtId="180" fontId="60" fillId="0" borderId="0" xfId="18" applyFont="1" applyFill="1">
      <alignment vertical="top"/>
    </xf>
    <xf numFmtId="178" fontId="60" fillId="0" borderId="0" xfId="16" applyFont="1">
      <alignment vertical="top"/>
    </xf>
    <xf numFmtId="178" fontId="65" fillId="0" borderId="0" xfId="16" applyFont="1" applyBorder="1">
      <alignment vertical="top"/>
    </xf>
    <xf numFmtId="180" fontId="60" fillId="0" borderId="0" xfId="18" applyFont="1">
      <alignment vertical="top"/>
    </xf>
    <xf numFmtId="178" fontId="55" fillId="0" borderId="0" xfId="16" applyFont="1" applyFill="1">
      <alignment vertical="top"/>
    </xf>
    <xf numFmtId="178" fontId="55" fillId="0" borderId="0" xfId="19" applyFont="1" applyFill="1">
      <alignment vertical="top"/>
    </xf>
    <xf numFmtId="178" fontId="59" fillId="0" borderId="0" xfId="16" applyFont="1">
      <alignment vertical="top"/>
    </xf>
    <xf numFmtId="179" fontId="63" fillId="0" borderId="0" xfId="16" applyNumberFormat="1" applyFont="1">
      <alignment vertical="top"/>
    </xf>
    <xf numFmtId="179" fontId="59" fillId="0" borderId="0" xfId="16" applyNumberFormat="1" applyFont="1">
      <alignment vertical="top"/>
    </xf>
    <xf numFmtId="179" fontId="59" fillId="0" borderId="0" xfId="16" applyNumberFormat="1" applyFont="1" applyFill="1">
      <alignment vertical="top"/>
    </xf>
    <xf numFmtId="179" fontId="63" fillId="0" borderId="0" xfId="19" applyNumberFormat="1" applyFont="1" applyFill="1">
      <alignment vertical="top"/>
    </xf>
    <xf numFmtId="178" fontId="59" fillId="0" borderId="0" xfId="16" applyFont="1" applyFill="1">
      <alignment vertical="top"/>
    </xf>
    <xf numFmtId="182" fontId="55" fillId="0" borderId="0" xfId="20" applyNumberFormat="1" applyFont="1" applyAlignment="1">
      <alignment vertical="top"/>
    </xf>
    <xf numFmtId="179" fontId="59" fillId="0" borderId="0" xfId="19" applyNumberFormat="1" applyFont="1">
      <alignment vertical="top"/>
    </xf>
    <xf numFmtId="178" fontId="59" fillId="0" borderId="0" xfId="19" applyFont="1" applyFill="1">
      <alignment vertical="top"/>
    </xf>
    <xf numFmtId="179" fontId="60" fillId="0" borderId="0" xfId="16" applyNumberFormat="1" applyFont="1">
      <alignment vertical="top"/>
    </xf>
    <xf numFmtId="178" fontId="60" fillId="0" borderId="0" xfId="19" applyFont="1">
      <alignment vertical="top"/>
    </xf>
    <xf numFmtId="179" fontId="54" fillId="0" borderId="0" xfId="19" applyNumberFormat="1" applyFont="1">
      <alignment vertical="top"/>
    </xf>
    <xf numFmtId="178" fontId="59" fillId="7" borderId="0" xfId="16" applyFont="1" applyFill="1">
      <alignment vertical="top"/>
    </xf>
    <xf numFmtId="0" fontId="59" fillId="7" borderId="0" xfId="16" applyNumberFormat="1" applyFont="1" applyFill="1">
      <alignment vertical="top"/>
    </xf>
    <xf numFmtId="178" fontId="62" fillId="0" borderId="0" xfId="16" applyFont="1" applyBorder="1">
      <alignment vertical="top"/>
    </xf>
    <xf numFmtId="178" fontId="62" fillId="0" borderId="0" xfId="16" applyFont="1" applyFill="1" applyBorder="1">
      <alignment vertical="top"/>
    </xf>
    <xf numFmtId="0" fontId="0" fillId="0" borderId="4" xfId="0" applyBorder="1"/>
    <xf numFmtId="0" fontId="0" fillId="0" borderId="5" xfId="0" applyBorder="1"/>
    <xf numFmtId="0" fontId="4" fillId="0" borderId="6" xfId="0" applyFont="1" applyBorder="1"/>
    <xf numFmtId="0" fontId="0" fillId="0" borderId="10" xfId="0" applyBorder="1"/>
    <xf numFmtId="0" fontId="0" fillId="0" borderId="0" xfId="0" applyBorder="1"/>
    <xf numFmtId="0" fontId="9" fillId="0" borderId="42" xfId="13" applyFont="1" applyBorder="1"/>
    <xf numFmtId="0" fontId="9" fillId="0" borderId="42" xfId="13" applyFont="1" applyBorder="1" applyAlignment="1">
      <alignment wrapText="1"/>
    </xf>
    <xf numFmtId="0" fontId="0" fillId="0" borderId="11" xfId="0" applyBorder="1"/>
    <xf numFmtId="0" fontId="0" fillId="0" borderId="12" xfId="0" applyBorder="1"/>
    <xf numFmtId="0" fontId="9" fillId="0" borderId="43" xfId="13" applyFont="1" applyBorder="1" applyAlignment="1" applyProtection="1">
      <alignment wrapText="1"/>
    </xf>
    <xf numFmtId="168" fontId="66" fillId="0" borderId="0" xfId="5" applyNumberFormat="1" applyFont="1" applyBorder="1"/>
    <xf numFmtId="168" fontId="66" fillId="0" borderId="12" xfId="5" applyNumberFormat="1" applyFont="1" applyBorder="1"/>
    <xf numFmtId="0" fontId="14" fillId="0" borderId="8" xfId="13" applyFont="1" applyFill="1" applyBorder="1" applyAlignment="1">
      <alignment vertical="top" wrapText="1"/>
    </xf>
    <xf numFmtId="0" fontId="14" fillId="0" borderId="9" xfId="13" applyFont="1" applyFill="1" applyBorder="1" applyAlignment="1">
      <alignment vertical="top" wrapText="1"/>
    </xf>
    <xf numFmtId="42" fontId="14" fillId="0" borderId="0" xfId="1" applyNumberFormat="1" applyFont="1" applyFill="1" applyBorder="1" applyAlignment="1"/>
    <xf numFmtId="0" fontId="38" fillId="0" borderId="0" xfId="13" applyFont="1" applyFill="1" applyAlignment="1">
      <alignment vertical="center"/>
    </xf>
    <xf numFmtId="0" fontId="38" fillId="0" borderId="0" xfId="13" applyFont="1" applyFill="1" applyAlignment="1">
      <alignment horizontal="left" vertical="top"/>
    </xf>
    <xf numFmtId="0" fontId="14" fillId="0" borderId="15" xfId="13" applyFont="1" applyFill="1" applyBorder="1" applyAlignment="1"/>
    <xf numFmtId="168" fontId="14" fillId="0" borderId="15" xfId="13" applyNumberFormat="1" applyFont="1" applyFill="1" applyBorder="1" applyAlignment="1"/>
    <xf numFmtId="0" fontId="14" fillId="0" borderId="7" xfId="13" applyFont="1" applyFill="1" applyBorder="1" applyAlignment="1">
      <alignment horizontal="left"/>
    </xf>
    <xf numFmtId="0" fontId="15" fillId="0" borderId="7" xfId="13" applyFont="1" applyFill="1" applyBorder="1" applyAlignment="1"/>
    <xf numFmtId="169" fontId="15" fillId="0" borderId="7" xfId="13" applyNumberFormat="1" applyFont="1" applyFill="1" applyBorder="1" applyAlignment="1"/>
    <xf numFmtId="0" fontId="15" fillId="0" borderId="7" xfId="13" applyFont="1" applyFill="1" applyBorder="1" applyAlignment="1">
      <alignment wrapText="1"/>
    </xf>
    <xf numFmtId="0" fontId="15" fillId="0" borderId="62" xfId="13" applyFont="1" applyFill="1" applyBorder="1" applyAlignment="1"/>
    <xf numFmtId="0" fontId="18" fillId="7" borderId="7" xfId="0" applyFont="1" applyFill="1" applyBorder="1" applyAlignment="1">
      <alignment horizontal="center" vertical="top" wrapText="1"/>
    </xf>
    <xf numFmtId="0" fontId="18" fillId="7" borderId="7" xfId="0" applyFont="1" applyFill="1" applyBorder="1" applyAlignment="1">
      <alignment horizontal="left" vertical="top" wrapText="1"/>
    </xf>
    <xf numFmtId="0" fontId="18" fillId="0" borderId="7" xfId="13" applyFont="1" applyFill="1" applyBorder="1" applyAlignment="1">
      <alignment wrapText="1"/>
    </xf>
    <xf numFmtId="0" fontId="18" fillId="0" borderId="7" xfId="13" applyFont="1" applyFill="1" applyBorder="1" applyAlignment="1"/>
    <xf numFmtId="0" fontId="18" fillId="0" borderId="62" xfId="13" applyFont="1" applyFill="1" applyBorder="1" applyAlignment="1"/>
    <xf numFmtId="171" fontId="14" fillId="0" borderId="7" xfId="13" applyNumberFormat="1" applyFont="1" applyFill="1" applyBorder="1" applyAlignment="1"/>
    <xf numFmtId="0" fontId="15" fillId="0" borderId="7" xfId="0" applyFont="1" applyBorder="1"/>
    <xf numFmtId="0" fontId="15" fillId="0" borderId="7" xfId="0" applyFont="1" applyBorder="1" applyAlignment="1">
      <alignment wrapText="1"/>
    </xf>
    <xf numFmtId="0" fontId="15" fillId="0" borderId="62" xfId="0" applyFont="1" applyBorder="1"/>
    <xf numFmtId="0" fontId="14" fillId="0" borderId="7" xfId="13" applyFont="1" applyFill="1" applyBorder="1" applyAlignment="1"/>
    <xf numFmtId="169" fontId="15" fillId="0" borderId="15" xfId="13" applyNumberFormat="1" applyFont="1" applyFill="1" applyBorder="1" applyAlignment="1"/>
    <xf numFmtId="168" fontId="9" fillId="0" borderId="55" xfId="0" applyNumberFormat="1" applyFont="1" applyFill="1" applyBorder="1"/>
    <xf numFmtId="168" fontId="9" fillId="0" borderId="14" xfId="0" applyNumberFormat="1" applyFont="1" applyFill="1" applyBorder="1"/>
    <xf numFmtId="178" fontId="1" fillId="0" borderId="0" xfId="16" applyFont="1" applyFill="1" applyBorder="1">
      <alignment vertical="top"/>
    </xf>
    <xf numFmtId="178" fontId="1" fillId="0" borderId="0" xfId="16" applyFont="1" applyBorder="1">
      <alignment vertical="top"/>
    </xf>
    <xf numFmtId="178" fontId="1" fillId="0" borderId="5" xfId="16" applyFont="1" applyBorder="1">
      <alignment vertical="top"/>
    </xf>
    <xf numFmtId="178" fontId="1" fillId="0" borderId="6" xfId="16" applyFont="1" applyBorder="1">
      <alignment vertical="top"/>
    </xf>
    <xf numFmtId="178" fontId="1" fillId="0" borderId="5" xfId="16" applyFont="1" applyFill="1" applyBorder="1">
      <alignment vertical="top"/>
    </xf>
    <xf numFmtId="178" fontId="1" fillId="0" borderId="0" xfId="16" applyFont="1">
      <alignment vertical="top"/>
    </xf>
    <xf numFmtId="178" fontId="1" fillId="0" borderId="42" xfId="16" applyFont="1" applyBorder="1">
      <alignment vertical="top"/>
    </xf>
    <xf numFmtId="178" fontId="1" fillId="0" borderId="0" xfId="16" applyFont="1" applyFill="1">
      <alignment vertical="top"/>
    </xf>
    <xf numFmtId="179" fontId="1" fillId="0" borderId="0" xfId="16" applyNumberFormat="1" applyFont="1" applyFill="1">
      <alignment vertical="top"/>
    </xf>
    <xf numFmtId="179" fontId="1" fillId="0" borderId="0" xfId="16" applyNumberFormat="1" applyFont="1">
      <alignment vertical="top"/>
    </xf>
    <xf numFmtId="179" fontId="1" fillId="0" borderId="0" xfId="16" applyNumberFormat="1" applyFont="1" applyBorder="1">
      <alignment vertical="top"/>
    </xf>
    <xf numFmtId="179" fontId="55" fillId="0" borderId="0" xfId="19" applyNumberFormat="1" applyFont="1" applyFill="1">
      <alignment vertical="top"/>
    </xf>
    <xf numFmtId="180" fontId="55" fillId="0" borderId="0" xfId="18" applyFont="1" applyFill="1">
      <alignment vertical="top"/>
    </xf>
    <xf numFmtId="178" fontId="1" fillId="0" borderId="0" xfId="16" applyNumberFormat="1" applyFont="1">
      <alignment vertical="top"/>
    </xf>
    <xf numFmtId="0" fontId="15" fillId="7" borderId="0" xfId="11" applyFont="1" applyFill="1" applyAlignment="1">
      <alignment horizontal="left" vertical="top"/>
    </xf>
    <xf numFmtId="0" fontId="40" fillId="0" borderId="0" xfId="4" applyFont="1" applyFill="1" applyAlignment="1" applyProtection="1">
      <alignment vertical="top"/>
    </xf>
    <xf numFmtId="0" fontId="0" fillId="0" borderId="0" xfId="0" applyAlignment="1"/>
    <xf numFmtId="168" fontId="9" fillId="0" borderId="15" xfId="0" applyNumberFormat="1" applyFont="1" applyFill="1" applyBorder="1"/>
    <xf numFmtId="178" fontId="53" fillId="0" borderId="0" xfId="16" applyFont="1" applyFill="1" applyBorder="1">
      <alignment vertical="top"/>
    </xf>
    <xf numFmtId="0" fontId="15" fillId="0" borderId="0" xfId="11" applyFont="1" applyFill="1" applyAlignment="1"/>
    <xf numFmtId="0" fontId="14" fillId="0" borderId="12" xfId="13" applyFont="1" applyBorder="1" applyAlignment="1" applyProtection="1"/>
    <xf numFmtId="0" fontId="32" fillId="0" borderId="2" xfId="0" applyFont="1" applyFill="1" applyBorder="1" applyAlignment="1">
      <alignment vertical="top"/>
    </xf>
    <xf numFmtId="0" fontId="32" fillId="0" borderId="8" xfId="0" applyFont="1" applyFill="1" applyBorder="1" applyAlignment="1">
      <alignment vertical="top"/>
    </xf>
    <xf numFmtId="0" fontId="32" fillId="0" borderId="9" xfId="0" applyFont="1" applyFill="1" applyBorder="1" applyAlignment="1">
      <alignment vertical="top"/>
    </xf>
    <xf numFmtId="0" fontId="52" fillId="0" borderId="2" xfId="0" applyFont="1" applyFill="1" applyBorder="1" applyAlignment="1">
      <alignment vertical="top"/>
    </xf>
    <xf numFmtId="0" fontId="52" fillId="0" borderId="8" xfId="0" applyFont="1" applyFill="1" applyBorder="1" applyAlignment="1">
      <alignment vertical="top"/>
    </xf>
    <xf numFmtId="0" fontId="52" fillId="0" borderId="9" xfId="0" applyFont="1" applyFill="1" applyBorder="1" applyAlignment="1">
      <alignment vertical="top"/>
    </xf>
    <xf numFmtId="0" fontId="38" fillId="0" borderId="0" xfId="0" applyFont="1" applyAlignment="1">
      <alignment vertical="center"/>
    </xf>
    <xf numFmtId="0" fontId="38" fillId="0" borderId="0" xfId="0" applyFont="1" applyAlignment="1">
      <alignment vertical="top"/>
    </xf>
    <xf numFmtId="0" fontId="27" fillId="0" borderId="0" xfId="0" applyFont="1" applyFill="1" applyBorder="1" applyAlignment="1" applyProtection="1"/>
    <xf numFmtId="168" fontId="15" fillId="18" borderId="1" xfId="5" applyNumberFormat="1" applyFont="1" applyFill="1" applyBorder="1" applyAlignment="1" applyProtection="1">
      <alignment horizontal="center"/>
    </xf>
    <xf numFmtId="0" fontId="15" fillId="3" borderId="0" xfId="0" applyFont="1" applyFill="1" applyAlignment="1" applyProtection="1"/>
    <xf numFmtId="0" fontId="14" fillId="0" borderId="0" xfId="0" applyFont="1" applyFill="1" applyBorder="1" applyAlignment="1" applyProtection="1">
      <alignment horizontal="center"/>
    </xf>
    <xf numFmtId="0" fontId="15" fillId="0" borderId="0" xfId="0" applyFont="1" applyFill="1" applyBorder="1" applyAlignment="1" applyProtection="1"/>
    <xf numFmtId="0" fontId="38" fillId="0" borderId="0" xfId="0" applyFont="1" applyAlignment="1" applyProtection="1"/>
    <xf numFmtId="0" fontId="15" fillId="0" borderId="0" xfId="0" applyFont="1" applyAlignment="1" applyProtection="1"/>
    <xf numFmtId="0" fontId="18" fillId="21" borderId="1" xfId="13" applyFont="1" applyFill="1" applyBorder="1" applyAlignment="1" applyProtection="1">
      <alignment horizontal="center"/>
      <protection locked="0"/>
    </xf>
    <xf numFmtId="49" fontId="15" fillId="21" borderId="2" xfId="13" applyNumberFormat="1" applyFont="1" applyFill="1" applyBorder="1" applyAlignment="1" applyProtection="1"/>
    <xf numFmtId="49" fontId="15" fillId="21" borderId="9" xfId="13" applyNumberFormat="1" applyFont="1" applyFill="1" applyBorder="1" applyAlignment="1" applyProtection="1"/>
    <xf numFmtId="0" fontId="14" fillId="21" borderId="20" xfId="0" applyFont="1" applyFill="1" applyBorder="1" applyAlignment="1" applyProtection="1">
      <alignment horizontal="right"/>
    </xf>
    <xf numFmtId="0" fontId="14" fillId="21" borderId="21" xfId="0" applyFont="1" applyFill="1" applyBorder="1" applyAlignment="1" applyProtection="1">
      <alignment horizontal="right"/>
    </xf>
    <xf numFmtId="0" fontId="14" fillId="21" borderId="56" xfId="0" applyNumberFormat="1" applyFont="1" applyFill="1" applyBorder="1" applyAlignment="1" applyProtection="1"/>
    <xf numFmtId="0" fontId="14" fillId="21" borderId="57" xfId="0" applyNumberFormat="1" applyFont="1" applyFill="1" applyBorder="1" applyAlignment="1" applyProtection="1"/>
    <xf numFmtId="0" fontId="14" fillId="21" borderId="58" xfId="0" applyNumberFormat="1" applyFont="1" applyFill="1" applyBorder="1" applyAlignment="1" applyProtection="1"/>
    <xf numFmtId="0" fontId="14" fillId="21" borderId="44" xfId="0" applyNumberFormat="1" applyFont="1" applyFill="1" applyBorder="1" applyAlignment="1" applyProtection="1"/>
    <xf numFmtId="0" fontId="14" fillId="21" borderId="8" xfId="0" applyNumberFormat="1" applyFont="1" applyFill="1" applyBorder="1" applyAlignment="1" applyProtection="1"/>
    <xf numFmtId="0" fontId="14" fillId="21" borderId="24" xfId="0" applyNumberFormat="1" applyFont="1" applyFill="1" applyBorder="1" applyAlignment="1" applyProtection="1"/>
    <xf numFmtId="0" fontId="14" fillId="21" borderId="38" xfId="0" applyNumberFormat="1" applyFont="1" applyFill="1" applyBorder="1" applyAlignment="1" applyProtection="1"/>
    <xf numFmtId="0" fontId="14" fillId="21" borderId="59" xfId="0" applyNumberFormat="1" applyFont="1" applyFill="1" applyBorder="1" applyAlignment="1" applyProtection="1"/>
    <xf numFmtId="42" fontId="15" fillId="21" borderId="1" xfId="1" applyNumberFormat="1" applyFont="1" applyFill="1" applyBorder="1" applyAlignment="1" applyProtection="1">
      <alignment horizontal="left" vertical="top"/>
    </xf>
    <xf numFmtId="42" fontId="15" fillId="21" borderId="23" xfId="1" applyNumberFormat="1" applyFont="1" applyFill="1" applyBorder="1" applyAlignment="1" applyProtection="1">
      <alignment horizontal="left" vertical="top"/>
    </xf>
    <xf numFmtId="169" fontId="15" fillId="21" borderId="15" xfId="1" applyNumberFormat="1" applyFont="1" applyFill="1" applyBorder="1" applyAlignment="1"/>
    <xf numFmtId="42" fontId="14" fillId="21" borderId="15" xfId="1" applyNumberFormat="1" applyFont="1" applyFill="1" applyBorder="1" applyAlignment="1"/>
    <xf numFmtId="169" fontId="14" fillId="21" borderId="15" xfId="1" applyNumberFormat="1" applyFont="1" applyFill="1" applyBorder="1" applyAlignment="1"/>
    <xf numFmtId="169" fontId="15" fillId="21" borderId="1" xfId="7" applyNumberFormat="1" applyFont="1" applyFill="1" applyBorder="1" applyAlignment="1" applyProtection="1"/>
    <xf numFmtId="9" fontId="15" fillId="21" borderId="1" xfId="0" applyNumberFormat="1" applyFont="1" applyFill="1" applyBorder="1"/>
    <xf numFmtId="168" fontId="15" fillId="21" borderId="1" xfId="5" applyNumberFormat="1" applyFont="1" applyFill="1" applyBorder="1" applyAlignment="1">
      <alignment horizontal="left"/>
    </xf>
    <xf numFmtId="169" fontId="15" fillId="21" borderId="1" xfId="14" applyNumberFormat="1" applyFont="1" applyFill="1" applyBorder="1" applyAlignment="1">
      <alignment horizontal="left"/>
    </xf>
    <xf numFmtId="176" fontId="15" fillId="21" borderId="2" xfId="13" applyNumberFormat="1" applyFont="1" applyFill="1" applyBorder="1" applyAlignment="1" applyProtection="1">
      <alignment vertical="center"/>
    </xf>
    <xf numFmtId="0" fontId="15" fillId="21" borderId="9" xfId="13" applyFont="1" applyFill="1" applyBorder="1" applyAlignment="1" applyProtection="1">
      <alignment vertical="center"/>
    </xf>
    <xf numFmtId="167" fontId="15" fillId="21" borderId="31" xfId="0" applyNumberFormat="1" applyFont="1" applyFill="1" applyBorder="1" applyAlignment="1" applyProtection="1">
      <alignment vertical="top"/>
    </xf>
    <xf numFmtId="173" fontId="22" fillId="21" borderId="1" xfId="1" applyNumberFormat="1" applyFont="1" applyFill="1" applyBorder="1" applyAlignment="1" applyProtection="1">
      <alignment vertical="top"/>
    </xf>
    <xf numFmtId="0" fontId="14" fillId="21" borderId="13" xfId="0" applyFont="1" applyFill="1" applyBorder="1" applyAlignment="1" applyProtection="1">
      <alignment vertical="top"/>
    </xf>
    <xf numFmtId="0" fontId="23" fillId="21" borderId="1" xfId="0" applyNumberFormat="1" applyFont="1" applyFill="1" applyBorder="1" applyAlignment="1">
      <alignment horizontal="left" vertical="top" wrapText="1"/>
    </xf>
    <xf numFmtId="178" fontId="54" fillId="21" borderId="0" xfId="16" applyFont="1" applyFill="1">
      <alignment vertical="top"/>
    </xf>
    <xf numFmtId="178" fontId="1" fillId="21" borderId="0" xfId="16" applyFont="1" applyFill="1">
      <alignment vertical="top"/>
    </xf>
    <xf numFmtId="49" fontId="15" fillId="22" borderId="2" xfId="13" applyNumberFormat="1" applyFont="1" applyFill="1" applyBorder="1" applyAlignment="1" applyProtection="1">
      <protection locked="0"/>
    </xf>
    <xf numFmtId="49" fontId="15" fillId="22" borderId="9" xfId="13" applyNumberFormat="1" applyFont="1" applyFill="1" applyBorder="1" applyAlignment="1" applyProtection="1"/>
    <xf numFmtId="14" fontId="15" fillId="22" borderId="1" xfId="13" applyNumberFormat="1" applyFont="1" applyFill="1" applyBorder="1" applyAlignment="1" applyProtection="1">
      <alignment horizontal="center" vertical="center"/>
      <protection locked="0"/>
    </xf>
    <xf numFmtId="49" fontId="15" fillId="22" borderId="1" xfId="13" applyNumberFormat="1" applyFont="1" applyFill="1" applyBorder="1" applyProtection="1">
      <protection locked="0"/>
    </xf>
    <xf numFmtId="49" fontId="15" fillId="22" borderId="20" xfId="0" applyNumberFormat="1" applyFont="1" applyFill="1" applyBorder="1" applyAlignment="1" applyProtection="1">
      <alignment vertical="top" wrapText="1"/>
      <protection locked="0"/>
    </xf>
    <xf numFmtId="173" fontId="22" fillId="22" borderId="1" xfId="1" applyNumberFormat="1" applyFont="1" applyFill="1" applyBorder="1" applyAlignment="1" applyProtection="1">
      <alignment vertical="top"/>
      <protection locked="0"/>
    </xf>
    <xf numFmtId="49" fontId="15" fillId="22" borderId="21" xfId="0" applyNumberFormat="1" applyFont="1" applyFill="1" applyBorder="1" applyAlignment="1" applyProtection="1">
      <alignment vertical="top" wrapText="1"/>
      <protection locked="0"/>
    </xf>
    <xf numFmtId="173" fontId="22" fillId="22" borderId="22" xfId="1" applyNumberFormat="1" applyFont="1" applyFill="1" applyBorder="1" applyAlignment="1" applyProtection="1">
      <alignment vertical="top"/>
      <protection locked="0"/>
    </xf>
    <xf numFmtId="14" fontId="15" fillId="22" borderId="1" xfId="0" applyNumberFormat="1" applyFont="1" applyFill="1" applyBorder="1" applyAlignment="1" applyProtection="1">
      <alignment horizontal="center" vertical="center"/>
      <protection locked="0"/>
    </xf>
    <xf numFmtId="0" fontId="48" fillId="22" borderId="15" xfId="0" applyFont="1" applyFill="1" applyBorder="1" applyProtection="1">
      <protection locked="0"/>
    </xf>
    <xf numFmtId="0" fontId="39" fillId="22" borderId="30" xfId="0" applyFont="1" applyFill="1" applyBorder="1" applyAlignment="1" applyProtection="1">
      <alignment vertical="top"/>
      <protection locked="0"/>
    </xf>
    <xf numFmtId="0" fontId="0" fillId="22" borderId="25" xfId="0" applyFill="1" applyBorder="1" applyAlignment="1">
      <alignment vertical="top"/>
    </xf>
    <xf numFmtId="0" fontId="0" fillId="22" borderId="26" xfId="0" applyFill="1" applyBorder="1" applyAlignment="1">
      <alignment vertical="top"/>
    </xf>
    <xf numFmtId="0" fontId="0" fillId="22" borderId="3" xfId="0" applyFill="1" applyBorder="1" applyAlignment="1">
      <alignment vertical="top"/>
    </xf>
    <xf numFmtId="0" fontId="0" fillId="22" borderId="0" xfId="0" applyFill="1" applyAlignment="1">
      <alignment vertical="top"/>
    </xf>
    <xf numFmtId="0" fontId="0" fillId="22" borderId="27" xfId="0" applyFill="1" applyBorder="1" applyAlignment="1">
      <alignment vertical="top"/>
    </xf>
    <xf numFmtId="0" fontId="0" fillId="22" borderId="13" xfId="0" applyFill="1" applyBorder="1" applyAlignment="1">
      <alignment vertical="top"/>
    </xf>
    <xf numFmtId="0" fontId="0" fillId="22" borderId="28" xfId="0" applyFill="1" applyBorder="1" applyAlignment="1">
      <alignment vertical="top"/>
    </xf>
    <xf numFmtId="0" fontId="0" fillId="22" borderId="29" xfId="0" applyFill="1" applyBorder="1" applyAlignment="1">
      <alignment vertical="top"/>
    </xf>
    <xf numFmtId="0" fontId="39" fillId="22" borderId="30" xfId="0" applyFont="1" applyFill="1" applyBorder="1" applyAlignment="1" applyProtection="1">
      <alignment vertical="top" wrapText="1"/>
      <protection locked="0"/>
    </xf>
    <xf numFmtId="0" fontId="0" fillId="22" borderId="25" xfId="0" applyFill="1" applyBorder="1" applyAlignment="1">
      <alignment vertical="top" wrapText="1"/>
    </xf>
    <xf numFmtId="0" fontId="0" fillId="22" borderId="26" xfId="0" applyFill="1" applyBorder="1" applyAlignment="1">
      <alignment vertical="top" wrapText="1"/>
    </xf>
    <xf numFmtId="0" fontId="0" fillId="22" borderId="3" xfId="0" applyFill="1" applyBorder="1" applyAlignment="1">
      <alignment vertical="top" wrapText="1"/>
    </xf>
    <xf numFmtId="0" fontId="0" fillId="22" borderId="0" xfId="0" applyFill="1" applyAlignment="1">
      <alignment vertical="top" wrapText="1"/>
    </xf>
    <xf numFmtId="0" fontId="0" fillId="22" borderId="27" xfId="0" applyFill="1" applyBorder="1" applyAlignment="1">
      <alignment vertical="top" wrapText="1"/>
    </xf>
    <xf numFmtId="0" fontId="0" fillId="22" borderId="13" xfId="0" applyFill="1" applyBorder="1" applyAlignment="1">
      <alignment vertical="top" wrapText="1"/>
    </xf>
    <xf numFmtId="0" fontId="0" fillId="22" borderId="28" xfId="0" applyFill="1" applyBorder="1" applyAlignment="1">
      <alignment vertical="top" wrapText="1"/>
    </xf>
    <xf numFmtId="0" fontId="0" fillId="22" borderId="29" xfId="0" applyFill="1" applyBorder="1" applyAlignment="1">
      <alignment vertical="top" wrapText="1"/>
    </xf>
    <xf numFmtId="0" fontId="15" fillId="22" borderId="40" xfId="0" applyFont="1" applyFill="1" applyBorder="1" applyAlignment="1" applyProtection="1">
      <alignment vertical="top"/>
      <protection locked="0"/>
    </xf>
    <xf numFmtId="0" fontId="15" fillId="22" borderId="5" xfId="0" applyFont="1" applyFill="1" applyBorder="1" applyAlignment="1" applyProtection="1">
      <alignment vertical="top"/>
      <protection locked="0"/>
    </xf>
    <xf numFmtId="0" fontId="15" fillId="22" borderId="41" xfId="0" applyFont="1" applyFill="1" applyBorder="1" applyAlignment="1" applyProtection="1">
      <alignment vertical="top"/>
      <protection locked="0"/>
    </xf>
    <xf numFmtId="0" fontId="15" fillId="22" borderId="3" xfId="0" applyFont="1" applyFill="1" applyBorder="1" applyAlignment="1" applyProtection="1">
      <alignment vertical="top"/>
      <protection locked="0"/>
    </xf>
    <xf numFmtId="0" fontId="15" fillId="22" borderId="0" xfId="0" applyFont="1" applyFill="1" applyBorder="1" applyAlignment="1" applyProtection="1">
      <alignment vertical="top"/>
      <protection locked="0"/>
    </xf>
    <xf numFmtId="0" fontId="15" fillId="22" borderId="27" xfId="0" applyFont="1" applyFill="1" applyBorder="1" applyAlignment="1" applyProtection="1">
      <alignment vertical="top"/>
      <protection locked="0"/>
    </xf>
    <xf numFmtId="0" fontId="15" fillId="22" borderId="13" xfId="0" applyFont="1" applyFill="1" applyBorder="1" applyAlignment="1" applyProtection="1">
      <alignment vertical="top"/>
      <protection locked="0"/>
    </xf>
    <xf numFmtId="0" fontId="15" fillId="22" borderId="28" xfId="0" applyFont="1" applyFill="1" applyBorder="1" applyAlignment="1" applyProtection="1">
      <alignment vertical="top"/>
      <protection locked="0"/>
    </xf>
    <xf numFmtId="0" fontId="15" fillId="22" borderId="29" xfId="0" applyFont="1" applyFill="1" applyBorder="1" applyAlignment="1" applyProtection="1">
      <alignment vertical="top"/>
      <protection locked="0"/>
    </xf>
    <xf numFmtId="0" fontId="15" fillId="22" borderId="1" xfId="13" applyFont="1" applyFill="1" applyBorder="1" applyAlignment="1" applyProtection="1">
      <alignment horizontal="center"/>
      <protection locked="0"/>
    </xf>
    <xf numFmtId="0" fontId="15" fillId="22" borderId="2" xfId="13" applyFont="1" applyFill="1" applyBorder="1" applyAlignment="1" applyProtection="1">
      <protection locked="0"/>
    </xf>
    <xf numFmtId="0" fontId="15" fillId="22" borderId="9" xfId="13" applyFont="1" applyFill="1" applyBorder="1" applyAlignment="1" applyProtection="1">
      <protection locked="0"/>
    </xf>
    <xf numFmtId="0" fontId="15" fillId="22" borderId="8" xfId="13" applyFont="1" applyFill="1" applyBorder="1" applyAlignment="1" applyProtection="1">
      <protection locked="0"/>
    </xf>
    <xf numFmtId="175" fontId="15" fillId="22" borderId="1" xfId="13" applyNumberFormat="1" applyFont="1" applyFill="1" applyBorder="1" applyAlignment="1" applyProtection="1">
      <alignment horizontal="center"/>
      <protection locked="0"/>
    </xf>
    <xf numFmtId="0" fontId="14" fillId="22" borderId="2" xfId="13" applyFont="1" applyFill="1" applyBorder="1" applyAlignment="1" applyProtection="1">
      <protection locked="0"/>
    </xf>
    <xf numFmtId="0" fontId="14" fillId="22" borderId="9" xfId="13" applyFont="1" applyFill="1" applyBorder="1" applyAlignment="1" applyProtection="1">
      <protection locked="0"/>
    </xf>
    <xf numFmtId="0" fontId="15" fillId="22" borderId="1" xfId="13" applyFont="1" applyFill="1" applyBorder="1" applyAlignment="1" applyProtection="1">
      <alignment horizontal="center" vertical="top"/>
      <protection locked="0"/>
    </xf>
    <xf numFmtId="0" fontId="15" fillId="22" borderId="1" xfId="13" applyFont="1" applyFill="1" applyBorder="1" applyAlignment="1" applyProtection="1">
      <alignment horizontal="left"/>
      <protection locked="0"/>
    </xf>
    <xf numFmtId="0" fontId="15" fillId="22" borderId="1" xfId="13" applyFont="1" applyFill="1" applyBorder="1" applyAlignment="1" applyProtection="1">
      <protection locked="0"/>
    </xf>
    <xf numFmtId="169" fontId="15" fillId="22" borderId="1" xfId="14" applyNumberFormat="1" applyFont="1" applyFill="1" applyBorder="1" applyAlignment="1" applyProtection="1">
      <alignment horizontal="center"/>
      <protection locked="0"/>
    </xf>
    <xf numFmtId="168" fontId="15" fillId="22" borderId="1" xfId="5" applyNumberFormat="1" applyFont="1" applyFill="1" applyBorder="1" applyAlignment="1" applyProtection="1">
      <alignment horizontal="center"/>
      <protection locked="0"/>
    </xf>
    <xf numFmtId="0" fontId="15" fillId="22" borderId="23" xfId="13" applyFont="1" applyFill="1" applyBorder="1" applyAlignment="1" applyProtection="1">
      <protection locked="0"/>
    </xf>
    <xf numFmtId="169" fontId="15" fillId="22" borderId="23" xfId="14" applyNumberFormat="1" applyFont="1" applyFill="1" applyBorder="1" applyAlignment="1" applyProtection="1">
      <alignment horizontal="center"/>
      <protection locked="0"/>
    </xf>
    <xf numFmtId="168" fontId="15" fillId="22" borderId="8" xfId="5" applyNumberFormat="1" applyFont="1" applyFill="1" applyBorder="1" applyAlignment="1" applyProtection="1">
      <protection locked="0"/>
    </xf>
    <xf numFmtId="168" fontId="15" fillId="22" borderId="9" xfId="5" applyNumberFormat="1" applyFont="1" applyFill="1" applyBorder="1" applyAlignment="1" applyProtection="1">
      <protection locked="0"/>
    </xf>
    <xf numFmtId="0" fontId="15" fillId="22" borderId="60" xfId="13" applyFont="1" applyFill="1" applyBorder="1" applyAlignment="1" applyProtection="1">
      <protection locked="0"/>
    </xf>
    <xf numFmtId="0" fontId="15" fillId="22" borderId="45" xfId="13" applyFont="1" applyFill="1" applyBorder="1" applyAlignment="1" applyProtection="1">
      <protection locked="0"/>
    </xf>
    <xf numFmtId="0" fontId="15" fillId="22" borderId="61" xfId="13" applyFont="1" applyFill="1" applyBorder="1" applyAlignment="1" applyProtection="1">
      <protection locked="0"/>
    </xf>
    <xf numFmtId="169" fontId="15" fillId="22" borderId="1" xfId="7" applyNumberFormat="1" applyFont="1" applyFill="1" applyBorder="1" applyAlignment="1" applyProtection="1">
      <protection locked="0"/>
    </xf>
    <xf numFmtId="0" fontId="15" fillId="22" borderId="4" xfId="0" applyFont="1" applyFill="1" applyBorder="1" applyAlignment="1" applyProtection="1">
      <alignment vertical="top" wrapText="1"/>
      <protection locked="0"/>
    </xf>
    <xf numFmtId="0" fontId="15" fillId="22" borderId="5" xfId="0" applyFont="1" applyFill="1" applyBorder="1" applyAlignment="1" applyProtection="1">
      <alignment vertical="top" wrapText="1"/>
      <protection locked="0"/>
    </xf>
    <xf numFmtId="0" fontId="15" fillId="22" borderId="6" xfId="0" applyFont="1" applyFill="1" applyBorder="1" applyAlignment="1" applyProtection="1">
      <alignment vertical="top" wrapText="1"/>
      <protection locked="0"/>
    </xf>
    <xf numFmtId="0" fontId="15" fillId="22" borderId="10" xfId="0" applyFont="1" applyFill="1" applyBorder="1" applyAlignment="1" applyProtection="1">
      <alignment vertical="top" wrapText="1"/>
      <protection locked="0"/>
    </xf>
    <xf numFmtId="0" fontId="15" fillId="22" borderId="0" xfId="0" applyFont="1" applyFill="1" applyBorder="1" applyAlignment="1" applyProtection="1">
      <alignment vertical="top" wrapText="1"/>
      <protection locked="0"/>
    </xf>
    <xf numFmtId="0" fontId="15" fillId="22" borderId="42" xfId="0" applyFont="1" applyFill="1" applyBorder="1" applyAlignment="1" applyProtection="1">
      <alignment vertical="top" wrapText="1"/>
      <protection locked="0"/>
    </xf>
    <xf numFmtId="0" fontId="15" fillId="22" borderId="11" xfId="0" applyFont="1" applyFill="1" applyBorder="1" applyAlignment="1" applyProtection="1">
      <alignment vertical="top" wrapText="1"/>
      <protection locked="0"/>
    </xf>
    <xf numFmtId="0" fontId="15" fillId="22" borderId="12" xfId="0" applyFont="1" applyFill="1" applyBorder="1" applyAlignment="1" applyProtection="1">
      <alignment vertical="top" wrapText="1"/>
      <protection locked="0"/>
    </xf>
    <xf numFmtId="0" fontId="15" fillId="22" borderId="43" xfId="0" applyFont="1" applyFill="1" applyBorder="1" applyAlignment="1" applyProtection="1">
      <alignment vertical="top" wrapText="1"/>
      <protection locked="0"/>
    </xf>
    <xf numFmtId="0" fontId="14" fillId="22" borderId="1" xfId="0" applyNumberFormat="1" applyFont="1" applyFill="1" applyBorder="1" applyAlignment="1">
      <alignment horizontal="left" vertical="top" wrapText="1"/>
    </xf>
    <xf numFmtId="0" fontId="14" fillId="13" borderId="44" xfId="0" applyNumberFormat="1" applyFont="1" applyFill="1" applyBorder="1" applyAlignment="1" applyProtection="1">
      <protection locked="0"/>
    </xf>
    <xf numFmtId="0" fontId="14" fillId="23" borderId="1" xfId="13" applyFont="1" applyFill="1" applyBorder="1" applyAlignment="1">
      <alignment horizontal="left" vertical="top" wrapText="1"/>
    </xf>
    <xf numFmtId="0" fontId="14" fillId="23" borderId="1" xfId="0" applyFont="1" applyFill="1" applyBorder="1" applyAlignment="1">
      <alignment horizontal="left" vertical="top" wrapText="1"/>
    </xf>
    <xf numFmtId="0" fontId="14" fillId="24" borderId="1" xfId="13" applyFont="1" applyFill="1" applyBorder="1" applyAlignment="1">
      <alignment horizontal="left" vertical="top" wrapText="1"/>
    </xf>
    <xf numFmtId="171" fontId="14" fillId="24" borderId="1" xfId="5" applyNumberFormat="1" applyFont="1" applyFill="1" applyBorder="1" applyAlignment="1">
      <alignment horizontal="left" vertical="top" wrapText="1"/>
    </xf>
    <xf numFmtId="0" fontId="14" fillId="25" borderId="1" xfId="13" applyFont="1" applyFill="1" applyBorder="1" applyProtection="1"/>
    <xf numFmtId="0" fontId="15" fillId="25" borderId="1" xfId="13" applyFont="1" applyFill="1" applyBorder="1" applyAlignment="1" applyProtection="1">
      <alignment horizontal="center"/>
    </xf>
    <xf numFmtId="0" fontId="14" fillId="25" borderId="1" xfId="13" applyFont="1" applyFill="1" applyBorder="1" applyAlignment="1" applyProtection="1">
      <alignment horizontal="center" vertical="top"/>
    </xf>
    <xf numFmtId="0" fontId="33" fillId="25" borderId="0" xfId="0" applyFont="1" applyFill="1" applyBorder="1" applyAlignment="1" applyProtection="1">
      <alignment vertical="top"/>
    </xf>
    <xf numFmtId="0" fontId="15" fillId="25" borderId="0" xfId="0" applyFont="1" applyFill="1" applyBorder="1" applyAlignment="1" applyProtection="1">
      <alignment vertical="top"/>
    </xf>
    <xf numFmtId="0" fontId="15" fillId="25" borderId="0" xfId="0" applyFont="1" applyFill="1" applyAlignment="1" applyProtection="1">
      <alignment vertical="top"/>
    </xf>
    <xf numFmtId="0" fontId="15" fillId="25" borderId="25" xfId="13" applyFont="1" applyFill="1" applyBorder="1" applyAlignment="1" applyProtection="1">
      <alignment vertical="top"/>
    </xf>
    <xf numFmtId="0" fontId="15" fillId="25" borderId="26" xfId="13" applyFont="1" applyFill="1" applyBorder="1" applyAlignment="1" applyProtection="1">
      <alignment vertical="top"/>
    </xf>
    <xf numFmtId="0" fontId="14" fillId="25" borderId="0" xfId="0" applyFont="1" applyFill="1" applyBorder="1" applyAlignment="1" applyProtection="1">
      <alignment vertical="top"/>
    </xf>
    <xf numFmtId="0" fontId="14" fillId="25" borderId="1" xfId="0" applyFont="1" applyFill="1" applyBorder="1" applyAlignment="1" applyProtection="1">
      <alignment horizontal="right" vertical="top"/>
    </xf>
    <xf numFmtId="0" fontId="15" fillId="25" borderId="0" xfId="13" applyFont="1" applyFill="1" applyBorder="1" applyAlignment="1" applyProtection="1">
      <alignment vertical="top"/>
    </xf>
    <xf numFmtId="0" fontId="15" fillId="25" borderId="27" xfId="13" applyFont="1" applyFill="1" applyBorder="1" applyAlignment="1" applyProtection="1">
      <alignment vertical="top"/>
    </xf>
    <xf numFmtId="0" fontId="14" fillId="25" borderId="0" xfId="13" applyFont="1" applyFill="1" applyBorder="1" applyAlignment="1" applyProtection="1">
      <alignment horizontal="right" vertical="top"/>
    </xf>
    <xf numFmtId="0" fontId="14" fillId="25" borderId="1" xfId="13" applyFont="1" applyFill="1" applyBorder="1" applyAlignment="1" applyProtection="1">
      <alignment horizontal="right" vertical="top"/>
    </xf>
    <xf numFmtId="167" fontId="14" fillId="25" borderId="28" xfId="0" applyNumberFormat="1" applyFont="1" applyFill="1" applyBorder="1" applyAlignment="1" applyProtection="1">
      <alignment vertical="top"/>
    </xf>
    <xf numFmtId="0" fontId="15" fillId="25" borderId="29" xfId="13" applyFont="1" applyFill="1" applyBorder="1" applyAlignment="1" applyProtection="1">
      <alignment vertical="top"/>
    </xf>
    <xf numFmtId="0" fontId="14" fillId="25" borderId="16" xfId="0" applyFont="1" applyFill="1" applyBorder="1" applyProtection="1"/>
    <xf numFmtId="0" fontId="14" fillId="25" borderId="17" xfId="0" applyFont="1" applyFill="1" applyBorder="1" applyAlignment="1" applyProtection="1">
      <alignment horizontal="center" wrapText="1"/>
    </xf>
    <xf numFmtId="0" fontId="14" fillId="25" borderId="18" xfId="0" applyFont="1" applyFill="1" applyBorder="1" applyAlignment="1" applyProtection="1">
      <alignment horizontal="center" wrapText="1"/>
    </xf>
    <xf numFmtId="0" fontId="14" fillId="25" borderId="1" xfId="0" applyFont="1" applyFill="1" applyBorder="1" applyAlignment="1" applyProtection="1">
      <alignment horizontal="left"/>
    </xf>
    <xf numFmtId="0" fontId="14" fillId="25" borderId="2" xfId="0" applyFont="1" applyFill="1" applyBorder="1" applyAlignment="1" applyProtection="1">
      <alignment horizontal="center" wrapText="1"/>
    </xf>
    <xf numFmtId="0" fontId="14" fillId="25" borderId="1" xfId="0" applyFont="1" applyFill="1" applyBorder="1" applyProtection="1"/>
    <xf numFmtId="172" fontId="15" fillId="25" borderId="1" xfId="0" applyNumberFormat="1" applyFont="1" applyFill="1" applyBorder="1" applyAlignment="1" applyProtection="1">
      <alignment horizontal="right" wrapText="1"/>
    </xf>
    <xf numFmtId="14" fontId="14" fillId="25" borderId="1" xfId="0" applyNumberFormat="1" applyFont="1" applyFill="1" applyBorder="1" applyAlignment="1" applyProtection="1">
      <alignment horizontal="right" wrapText="1"/>
    </xf>
    <xf numFmtId="14" fontId="15" fillId="25" borderId="1" xfId="0" applyNumberFormat="1" applyFont="1" applyFill="1" applyBorder="1" applyAlignment="1" applyProtection="1">
      <alignment horizontal="center" vertical="center"/>
    </xf>
    <xf numFmtId="0" fontId="14" fillId="25" borderId="34" xfId="0" applyFont="1" applyFill="1" applyBorder="1" applyAlignment="1" applyProtection="1">
      <alignment vertical="top" wrapText="1"/>
    </xf>
    <xf numFmtId="0" fontId="14" fillId="25" borderId="35" xfId="0" applyFont="1" applyFill="1" applyBorder="1" applyAlignment="1" applyProtection="1">
      <alignment vertical="top" wrapText="1"/>
    </xf>
    <xf numFmtId="0" fontId="14" fillId="25" borderId="15" xfId="0" applyFont="1" applyFill="1" applyBorder="1" applyAlignment="1" applyProtection="1">
      <alignment vertical="top" wrapText="1"/>
    </xf>
    <xf numFmtId="0" fontId="14" fillId="25" borderId="11" xfId="0" applyFont="1" applyFill="1" applyBorder="1" applyAlignment="1">
      <alignment horizontal="left"/>
    </xf>
    <xf numFmtId="0" fontId="14" fillId="25" borderId="12" xfId="0" applyFont="1" applyFill="1" applyBorder="1" applyAlignment="1">
      <alignment horizontal="left"/>
    </xf>
    <xf numFmtId="0" fontId="14" fillId="25" borderId="12" xfId="0" applyFont="1" applyFill="1" applyBorder="1" applyAlignment="1">
      <alignment horizontal="right"/>
    </xf>
    <xf numFmtId="1" fontId="59" fillId="25" borderId="0" xfId="16" applyNumberFormat="1" applyFont="1" applyFill="1">
      <alignment vertical="top"/>
    </xf>
    <xf numFmtId="178" fontId="59" fillId="25" borderId="0" xfId="16" applyFont="1" applyFill="1">
      <alignment vertical="top"/>
    </xf>
    <xf numFmtId="0" fontId="15" fillId="25" borderId="30" xfId="0" applyFont="1" applyFill="1" applyBorder="1" applyAlignment="1" applyProtection="1"/>
    <xf numFmtId="0" fontId="14" fillId="25" borderId="25" xfId="0" applyFont="1" applyFill="1" applyBorder="1" applyAlignment="1" applyProtection="1">
      <alignment horizontal="center"/>
    </xf>
    <xf numFmtId="0" fontId="14" fillId="25" borderId="26" xfId="0" applyFont="1" applyFill="1" applyBorder="1" applyAlignment="1" applyProtection="1">
      <alignment horizontal="center"/>
    </xf>
    <xf numFmtId="0" fontId="15" fillId="25" borderId="3" xfId="0" applyFont="1" applyFill="1" applyBorder="1" applyAlignment="1" applyProtection="1"/>
    <xf numFmtId="0" fontId="14" fillId="25" borderId="0" xfId="0" applyFont="1" applyFill="1" applyBorder="1" applyAlignment="1" applyProtection="1">
      <alignment horizontal="center"/>
    </xf>
    <xf numFmtId="0" fontId="14" fillId="25" borderId="27" xfId="0" applyFont="1" applyFill="1" applyBorder="1" applyAlignment="1" applyProtection="1">
      <alignment horizontal="center"/>
    </xf>
    <xf numFmtId="0" fontId="14" fillId="25" borderId="28" xfId="0" applyFont="1" applyFill="1" applyBorder="1" applyAlignment="1" applyProtection="1">
      <alignment horizontal="center"/>
    </xf>
    <xf numFmtId="0" fontId="15" fillId="25" borderId="29" xfId="0" applyFont="1" applyFill="1" applyBorder="1" applyAlignment="1" applyProtection="1"/>
    <xf numFmtId="174" fontId="15" fillId="25" borderId="1" xfId="0" applyNumberFormat="1" applyFont="1" applyFill="1" applyBorder="1" applyProtection="1"/>
    <xf numFmtId="172" fontId="15" fillId="25" borderId="1" xfId="0" applyNumberFormat="1" applyFont="1" applyFill="1" applyBorder="1" applyProtection="1"/>
    <xf numFmtId="172" fontId="15" fillId="25" borderId="1" xfId="0" applyNumberFormat="1" applyFont="1" applyFill="1" applyBorder="1" applyAlignment="1" applyProtection="1">
      <alignment vertical="top" wrapText="1"/>
    </xf>
    <xf numFmtId="172" fontId="15" fillId="25" borderId="2" xfId="0" applyNumberFormat="1" applyFont="1" applyFill="1" applyBorder="1" applyAlignment="1" applyProtection="1">
      <alignment vertical="top" wrapText="1"/>
    </xf>
    <xf numFmtId="0" fontId="15" fillId="25" borderId="2" xfId="0" applyFont="1" applyFill="1" applyBorder="1" applyAlignment="1" applyProtection="1">
      <alignment horizontal="left" wrapText="1"/>
    </xf>
    <xf numFmtId="0" fontId="15" fillId="25" borderId="1" xfId="0" applyFont="1" applyFill="1" applyBorder="1" applyAlignment="1" applyProtection="1">
      <alignment horizontal="left" wrapText="1"/>
    </xf>
    <xf numFmtId="0" fontId="33" fillId="25" borderId="30" xfId="0" applyFont="1" applyFill="1" applyBorder="1" applyProtection="1"/>
    <xf numFmtId="0" fontId="15" fillId="25" borderId="25" xfId="0" applyFont="1" applyFill="1" applyBorder="1" applyProtection="1"/>
    <xf numFmtId="0" fontId="15" fillId="25" borderId="26" xfId="0" applyFont="1" applyFill="1" applyBorder="1" applyProtection="1"/>
    <xf numFmtId="165" fontId="15" fillId="25" borderId="0" xfId="0" applyNumberFormat="1" applyFont="1" applyFill="1" applyBorder="1" applyProtection="1"/>
    <xf numFmtId="165" fontId="15" fillId="25" borderId="27" xfId="0" applyNumberFormat="1" applyFont="1" applyFill="1" applyBorder="1" applyProtection="1"/>
    <xf numFmtId="0" fontId="15" fillId="25" borderId="28" xfId="0" applyFont="1" applyFill="1" applyBorder="1" applyAlignment="1" applyProtection="1"/>
    <xf numFmtId="178" fontId="54" fillId="24" borderId="53" xfId="16" applyFont="1" applyFill="1" applyBorder="1">
      <alignment vertical="top"/>
    </xf>
    <xf numFmtId="178" fontId="54" fillId="24" borderId="54" xfId="16" applyFont="1" applyFill="1" applyBorder="1">
      <alignment vertical="top"/>
    </xf>
    <xf numFmtId="179" fontId="55" fillId="0" borderId="66" xfId="19" applyNumberFormat="1" applyFont="1" applyFill="1" applyBorder="1">
      <alignment vertical="top"/>
    </xf>
    <xf numFmtId="178" fontId="59" fillId="0" borderId="66" xfId="19" applyFont="1" applyFill="1" applyBorder="1">
      <alignment vertical="top"/>
    </xf>
    <xf numFmtId="178" fontId="55" fillId="0" borderId="66" xfId="19" applyFont="1" applyFill="1" applyBorder="1">
      <alignment vertical="top"/>
    </xf>
    <xf numFmtId="0" fontId="48" fillId="0" borderId="0" xfId="0" applyFont="1" applyAlignment="1">
      <alignment vertical="top"/>
    </xf>
    <xf numFmtId="0" fontId="48" fillId="0" borderId="0" xfId="0" applyFont="1" applyAlignment="1">
      <alignment vertical="center"/>
    </xf>
    <xf numFmtId="0" fontId="39" fillId="0" borderId="0" xfId="0" applyFont="1" applyAlignment="1">
      <alignment vertical="center"/>
    </xf>
    <xf numFmtId="0" fontId="14" fillId="7" borderId="0" xfId="0" applyFont="1" applyFill="1" applyAlignment="1">
      <alignment vertical="top"/>
    </xf>
    <xf numFmtId="0" fontId="14" fillId="7" borderId="0" xfId="11" applyFont="1" applyFill="1" applyAlignment="1"/>
    <xf numFmtId="0" fontId="15" fillId="7" borderId="0" xfId="11" applyFont="1" applyFill="1" applyAlignment="1"/>
    <xf numFmtId="0" fontId="15" fillId="7" borderId="0" xfId="11" quotePrefix="1" applyFont="1" applyFill="1" applyAlignment="1"/>
    <xf numFmtId="0" fontId="15" fillId="0" borderId="0" xfId="11" applyFont="1" applyAlignment="1"/>
    <xf numFmtId="0" fontId="38" fillId="7" borderId="0" xfId="11" applyFont="1" applyFill="1" applyAlignment="1"/>
    <xf numFmtId="0" fontId="39" fillId="0" borderId="0" xfId="0" applyFont="1" applyAlignment="1"/>
    <xf numFmtId="0" fontId="38" fillId="0" borderId="0" xfId="11" applyFont="1" applyFill="1" applyAlignment="1"/>
    <xf numFmtId="0" fontId="50" fillId="0" borderId="0" xfId="0" applyFont="1" applyFill="1" applyAlignment="1">
      <alignment wrapText="1"/>
    </xf>
    <xf numFmtId="14" fontId="15" fillId="0" borderId="0" xfId="0" applyNumberFormat="1" applyFont="1" applyFill="1" applyProtection="1"/>
    <xf numFmtId="0" fontId="15" fillId="25" borderId="13" xfId="0" applyFont="1" applyFill="1" applyBorder="1" applyAlignment="1" applyProtection="1"/>
    <xf numFmtId="0" fontId="14" fillId="0" borderId="0" xfId="0" applyFont="1" applyAlignment="1">
      <alignment vertical="top"/>
    </xf>
    <xf numFmtId="0" fontId="16" fillId="7" borderId="0" xfId="11" applyFont="1" applyFill="1" applyAlignment="1">
      <alignment horizontal="left"/>
    </xf>
    <xf numFmtId="0" fontId="14" fillId="25" borderId="29" xfId="0" applyFont="1" applyFill="1" applyBorder="1" applyAlignment="1" applyProtection="1">
      <alignment horizontal="center"/>
    </xf>
    <xf numFmtId="0" fontId="27" fillId="18" borderId="20" xfId="0" applyFont="1" applyFill="1" applyBorder="1" applyAlignment="1" applyProtection="1"/>
    <xf numFmtId="168" fontId="15" fillId="18" borderId="67" xfId="5" applyNumberFormat="1" applyFont="1" applyFill="1" applyBorder="1" applyAlignment="1" applyProtection="1">
      <alignment horizontal="center"/>
    </xf>
    <xf numFmtId="0" fontId="27" fillId="18" borderId="21" xfId="0" applyFont="1" applyFill="1" applyBorder="1" applyAlignment="1" applyProtection="1"/>
    <xf numFmtId="0" fontId="14" fillId="18" borderId="22" xfId="0" applyFont="1" applyFill="1" applyBorder="1" applyAlignment="1" applyProtection="1">
      <alignment horizontal="center"/>
    </xf>
    <xf numFmtId="0" fontId="15" fillId="18" borderId="68" xfId="0" applyFont="1" applyFill="1" applyBorder="1" applyAlignment="1" applyProtection="1"/>
    <xf numFmtId="168" fontId="15" fillId="0" borderId="0" xfId="5" applyNumberFormat="1" applyFont="1" applyFill="1" applyBorder="1" applyAlignment="1" applyProtection="1">
      <alignment horizontal="center"/>
    </xf>
    <xf numFmtId="0" fontId="18" fillId="0" borderId="2" xfId="0" applyFont="1" applyBorder="1"/>
    <xf numFmtId="0" fontId="18" fillId="0" borderId="8" xfId="0" applyFont="1" applyBorder="1"/>
    <xf numFmtId="0" fontId="14" fillId="0" borderId="3" xfId="0"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14" fillId="0" borderId="3" xfId="0" applyFont="1" applyFill="1" applyBorder="1" applyAlignment="1" applyProtection="1">
      <alignment horizontal="center"/>
    </xf>
    <xf numFmtId="178" fontId="54" fillId="0" borderId="0" xfId="16" applyFont="1" applyFill="1" applyBorder="1">
      <alignment vertical="top"/>
    </xf>
    <xf numFmtId="0" fontId="14" fillId="25" borderId="2" xfId="0" applyFont="1" applyFill="1" applyBorder="1" applyAlignment="1" applyProtection="1">
      <alignment horizontal="left"/>
    </xf>
    <xf numFmtId="0" fontId="14" fillId="25" borderId="8" xfId="0" applyFont="1" applyFill="1" applyBorder="1" applyAlignment="1" applyProtection="1">
      <alignment horizontal="left"/>
    </xf>
    <xf numFmtId="0" fontId="14" fillId="25" borderId="16" xfId="0" applyFont="1" applyFill="1" applyBorder="1" applyAlignment="1" applyProtection="1">
      <alignment horizontal="center" wrapText="1"/>
    </xf>
    <xf numFmtId="0" fontId="14" fillId="25" borderId="30" xfId="0" applyFont="1" applyFill="1" applyBorder="1" applyAlignment="1" applyProtection="1">
      <alignment horizontal="center"/>
    </xf>
    <xf numFmtId="0" fontId="14" fillId="25" borderId="3" xfId="0" applyFont="1" applyFill="1" applyBorder="1" applyAlignment="1" applyProtection="1">
      <alignment horizontal="center"/>
    </xf>
    <xf numFmtId="0" fontId="14" fillId="25" borderId="13" xfId="0" applyFont="1" applyFill="1" applyBorder="1" applyAlignment="1" applyProtection="1">
      <alignment horizontal="center"/>
    </xf>
    <xf numFmtId="0" fontId="15" fillId="0" borderId="0" xfId="0" applyFont="1" applyFill="1" applyBorder="1"/>
    <xf numFmtId="178" fontId="58" fillId="0" borderId="0" xfId="16" applyFont="1" applyFill="1" applyBorder="1">
      <alignment vertical="top"/>
    </xf>
    <xf numFmtId="0" fontId="0" fillId="0" borderId="0" xfId="0" applyFill="1" applyBorder="1"/>
    <xf numFmtId="182" fontId="0" fillId="0" borderId="0" xfId="20" applyNumberFormat="1" applyFont="1" applyFill="1" applyBorder="1" applyAlignment="1">
      <alignment vertical="top"/>
    </xf>
    <xf numFmtId="178" fontId="57" fillId="0" borderId="0" xfId="16" applyFont="1" applyFill="1" applyBorder="1">
      <alignment vertical="top"/>
    </xf>
    <xf numFmtId="182" fontId="0" fillId="0" borderId="0" xfId="20" quotePrefix="1" applyNumberFormat="1" applyFont="1" applyFill="1" applyBorder="1" applyAlignment="1">
      <alignment horizontal="right" vertical="top"/>
    </xf>
    <xf numFmtId="178" fontId="2" fillId="0" borderId="0" xfId="16" quotePrefix="1" applyFill="1" applyBorder="1" applyAlignment="1">
      <alignment horizontal="right" vertical="top"/>
    </xf>
    <xf numFmtId="182" fontId="54" fillId="0" borderId="0" xfId="20" applyNumberFormat="1" applyFont="1" applyFill="1" applyBorder="1" applyAlignment="1">
      <alignment vertical="top"/>
    </xf>
    <xf numFmtId="182" fontId="57" fillId="0" borderId="0" xfId="20" applyNumberFormat="1" applyFont="1" applyFill="1" applyBorder="1" applyAlignment="1">
      <alignment vertical="top"/>
    </xf>
    <xf numFmtId="0" fontId="14" fillId="13" borderId="8" xfId="0" applyNumberFormat="1" applyFont="1" applyFill="1" applyBorder="1" applyAlignment="1" applyProtection="1"/>
    <xf numFmtId="0" fontId="14" fillId="13" borderId="24" xfId="0" applyNumberFormat="1" applyFont="1" applyFill="1" applyBorder="1" applyAlignment="1" applyProtection="1"/>
    <xf numFmtId="168" fontId="15" fillId="21" borderId="1" xfId="5" applyNumberFormat="1" applyFont="1" applyFill="1" applyBorder="1" applyAlignment="1" applyProtection="1">
      <alignment horizontal="center"/>
    </xf>
    <xf numFmtId="42" fontId="15" fillId="21" borderId="1" xfId="5" applyNumberFormat="1" applyFont="1" applyFill="1" applyBorder="1" applyAlignment="1" applyProtection="1">
      <alignment horizontal="center"/>
    </xf>
    <xf numFmtId="0" fontId="15" fillId="22" borderId="8" xfId="13" applyFont="1" applyFill="1" applyBorder="1" applyAlignment="1" applyProtection="1"/>
    <xf numFmtId="0" fontId="15" fillId="0" borderId="2" xfId="13" applyFont="1" applyFill="1" applyBorder="1" applyAlignment="1" applyProtection="1">
      <alignment horizontal="center"/>
    </xf>
    <xf numFmtId="0" fontId="15" fillId="0" borderId="8" xfId="13" applyFont="1" applyFill="1" applyBorder="1" applyAlignment="1" applyProtection="1">
      <alignment horizontal="center"/>
    </xf>
    <xf numFmtId="171" fontId="15" fillId="0" borderId="8" xfId="13" applyNumberFormat="1" applyFont="1" applyFill="1" applyBorder="1" applyAlignment="1" applyProtection="1"/>
    <xf numFmtId="0" fontId="15" fillId="0" borderId="5" xfId="13" applyFont="1" applyFill="1" applyBorder="1" applyAlignment="1" applyProtection="1"/>
    <xf numFmtId="0" fontId="15" fillId="0" borderId="5" xfId="13" applyFont="1" applyFill="1" applyBorder="1" applyAlignment="1" applyProtection="1">
      <alignment wrapText="1"/>
    </xf>
    <xf numFmtId="0" fontId="18" fillId="0" borderId="23" xfId="13" applyFont="1" applyFill="1" applyBorder="1" applyAlignment="1" applyProtection="1"/>
    <xf numFmtId="0" fontId="15" fillId="22" borderId="2" xfId="13" applyFont="1" applyFill="1" applyBorder="1" applyAlignment="1" applyProtection="1">
      <alignment horizontal="left"/>
    </xf>
    <xf numFmtId="0" fontId="15" fillId="22" borderId="8" xfId="13" applyFont="1" applyFill="1" applyBorder="1" applyAlignment="1" applyProtection="1">
      <alignment horizontal="left"/>
    </xf>
    <xf numFmtId="0" fontId="18" fillId="0" borderId="2" xfId="13" applyFont="1" applyFill="1" applyBorder="1" applyAlignment="1" applyProtection="1"/>
    <xf numFmtId="0" fontId="18" fillId="0" borderId="8" xfId="13" applyFont="1" applyFill="1" applyBorder="1" applyAlignment="1" applyProtection="1"/>
    <xf numFmtId="0" fontId="18" fillId="0" borderId="0" xfId="13" applyFont="1" applyFill="1" applyBorder="1" applyAlignment="1" applyProtection="1"/>
    <xf numFmtId="0" fontId="18" fillId="0" borderId="0" xfId="13" applyFont="1" applyFill="1" applyAlignment="1" applyProtection="1"/>
    <xf numFmtId="0" fontId="18" fillId="0" borderId="1" xfId="13" applyFont="1" applyFill="1" applyBorder="1" applyAlignment="1" applyProtection="1">
      <alignment wrapText="1"/>
    </xf>
    <xf numFmtId="0" fontId="15" fillId="0" borderId="0" xfId="13" applyFont="1" applyFill="1" applyBorder="1" applyAlignment="1" applyProtection="1">
      <alignment horizontal="left"/>
    </xf>
    <xf numFmtId="0" fontId="15" fillId="0" borderId="0" xfId="13" applyFont="1" applyFill="1" applyAlignment="1" applyProtection="1">
      <alignment wrapText="1"/>
    </xf>
    <xf numFmtId="169" fontId="15" fillId="0" borderId="0" xfId="1" applyNumberFormat="1" applyFont="1" applyFill="1" applyAlignment="1" applyProtection="1"/>
    <xf numFmtId="0" fontId="14" fillId="0" borderId="46" xfId="13" applyFont="1" applyFill="1" applyBorder="1" applyAlignment="1" applyProtection="1"/>
    <xf numFmtId="0" fontId="15" fillId="0" borderId="46" xfId="13" applyFont="1" applyFill="1" applyBorder="1" applyAlignment="1" applyProtection="1"/>
    <xf numFmtId="169" fontId="14" fillId="11" borderId="15" xfId="1" applyNumberFormat="1" applyFont="1" applyFill="1" applyBorder="1" applyAlignment="1" applyProtection="1"/>
    <xf numFmtId="169" fontId="15" fillId="0" borderId="0" xfId="0" applyNumberFormat="1" applyFont="1" applyAlignment="1" applyProtection="1">
      <alignment horizontal="left"/>
    </xf>
    <xf numFmtId="169" fontId="15" fillId="21" borderId="1" xfId="0" applyNumberFormat="1" applyFont="1" applyFill="1" applyBorder="1" applyAlignment="1" applyProtection="1"/>
    <xf numFmtId="169" fontId="15" fillId="21" borderId="9" xfId="0" applyNumberFormat="1" applyFont="1" applyFill="1" applyBorder="1" applyAlignment="1" applyProtection="1"/>
    <xf numFmtId="0" fontId="0" fillId="0" borderId="0" xfId="0" applyProtection="1"/>
    <xf numFmtId="49" fontId="15" fillId="21" borderId="20" xfId="0" applyNumberFormat="1" applyFont="1" applyFill="1" applyBorder="1" applyAlignment="1" applyProtection="1">
      <alignment vertical="top" wrapText="1"/>
    </xf>
    <xf numFmtId="173" fontId="22" fillId="21" borderId="19" xfId="1" applyNumberFormat="1" applyFont="1" applyFill="1" applyBorder="1" applyAlignment="1" applyProtection="1">
      <alignment vertical="top"/>
    </xf>
    <xf numFmtId="0" fontId="15" fillId="7" borderId="0" xfId="11" applyFont="1" applyFill="1" applyAlignment="1" applyProtection="1">
      <alignment vertical="center"/>
    </xf>
    <xf numFmtId="0" fontId="15" fillId="7" borderId="0" xfId="11" applyFont="1" applyFill="1" applyProtection="1"/>
    <xf numFmtId="0" fontId="70" fillId="4" borderId="0" xfId="13" applyFont="1" applyFill="1" applyAlignment="1" applyProtection="1"/>
    <xf numFmtId="0" fontId="15" fillId="0" borderId="0" xfId="0" applyFont="1" applyFill="1" applyAlignment="1">
      <alignment horizontal="left"/>
    </xf>
    <xf numFmtId="0" fontId="71" fillId="10" borderId="0" xfId="11" applyFont="1" applyFill="1" applyAlignment="1">
      <alignment horizontal="left" vertical="center"/>
    </xf>
    <xf numFmtId="0" fontId="15" fillId="5" borderId="25" xfId="11" applyFont="1" applyFill="1" applyBorder="1" applyAlignment="1">
      <alignment vertical="top"/>
    </xf>
    <xf numFmtId="0" fontId="15" fillId="5" borderId="25" xfId="11" applyFont="1" applyFill="1" applyBorder="1" applyAlignment="1"/>
    <xf numFmtId="0" fontId="15" fillId="5" borderId="25" xfId="11" applyFont="1" applyFill="1" applyBorder="1"/>
    <xf numFmtId="0" fontId="15" fillId="5" borderId="26" xfId="11" applyFont="1" applyFill="1" applyBorder="1"/>
    <xf numFmtId="0" fontId="39" fillId="5" borderId="3" xfId="0" applyFont="1" applyFill="1" applyBorder="1" applyAlignment="1">
      <alignment vertical="top"/>
    </xf>
    <xf numFmtId="0" fontId="15" fillId="5" borderId="0" xfId="11" applyFont="1" applyFill="1" applyBorder="1" applyAlignment="1">
      <alignment vertical="top"/>
    </xf>
    <xf numFmtId="0" fontId="15" fillId="5" borderId="0" xfId="11" applyFont="1" applyFill="1" applyBorder="1" applyAlignment="1"/>
    <xf numFmtId="0" fontId="15" fillId="5" borderId="0" xfId="11" applyFont="1" applyFill="1" applyBorder="1"/>
    <xf numFmtId="0" fontId="15" fillId="5" borderId="27" xfId="11" applyFont="1" applyFill="1" applyBorder="1"/>
    <xf numFmtId="0" fontId="39" fillId="5" borderId="13" xfId="0" applyFont="1" applyFill="1" applyBorder="1" applyAlignment="1">
      <alignment vertical="top"/>
    </xf>
    <xf numFmtId="0" fontId="15" fillId="5" borderId="28" xfId="11" applyFont="1" applyFill="1" applyBorder="1" applyAlignment="1">
      <alignment vertical="top"/>
    </xf>
    <xf numFmtId="0" fontId="15" fillId="5" borderId="28" xfId="11" applyFont="1" applyFill="1" applyBorder="1"/>
    <xf numFmtId="0" fontId="15" fillId="5" borderId="29" xfId="11" applyFont="1" applyFill="1" applyBorder="1"/>
    <xf numFmtId="0" fontId="15" fillId="5" borderId="30" xfId="11" applyFont="1" applyFill="1" applyBorder="1" applyAlignment="1">
      <alignment horizontal="left" vertical="top"/>
    </xf>
    <xf numFmtId="0" fontId="15" fillId="5" borderId="13" xfId="11" applyFont="1" applyFill="1" applyBorder="1" applyAlignment="1">
      <alignment horizontal="left" vertical="top"/>
    </xf>
    <xf numFmtId="49" fontId="14" fillId="21" borderId="69" xfId="13" applyNumberFormat="1" applyFont="1" applyFill="1" applyBorder="1" applyAlignment="1" applyProtection="1"/>
    <xf numFmtId="0" fontId="15" fillId="0" borderId="12" xfId="0" applyFont="1" applyBorder="1" applyAlignment="1" applyProtection="1">
      <alignment horizontal="left"/>
    </xf>
    <xf numFmtId="0" fontId="15" fillId="0" borderId="70" xfId="0" applyFont="1" applyBorder="1" applyAlignment="1" applyProtection="1">
      <alignment horizontal="left"/>
    </xf>
    <xf numFmtId="0" fontId="15" fillId="0" borderId="8" xfId="0" applyFont="1" applyBorder="1" applyAlignment="1" applyProtection="1">
      <alignment horizontal="left"/>
    </xf>
    <xf numFmtId="0" fontId="15" fillId="0" borderId="24" xfId="0" applyFont="1" applyBorder="1" applyAlignment="1" applyProtection="1">
      <alignment horizontal="left"/>
    </xf>
    <xf numFmtId="0" fontId="15" fillId="0" borderId="8" xfId="4" applyFont="1" applyBorder="1" applyAlignment="1" applyProtection="1"/>
    <xf numFmtId="0" fontId="51" fillId="0" borderId="8" xfId="4" applyFont="1" applyBorder="1" applyAlignment="1" applyProtection="1"/>
    <xf numFmtId="0" fontId="51" fillId="0" borderId="24" xfId="4" applyFont="1" applyBorder="1" applyAlignment="1" applyProtection="1"/>
    <xf numFmtId="0" fontId="22" fillId="0" borderId="8" xfId="0" applyFont="1" applyBorder="1" applyAlignment="1" applyProtection="1">
      <alignment horizontal="left"/>
    </xf>
    <xf numFmtId="0" fontId="15" fillId="0" borderId="8" xfId="0" applyFont="1" applyFill="1" applyBorder="1" applyAlignment="1" applyProtection="1">
      <alignment horizontal="left"/>
    </xf>
    <xf numFmtId="0" fontId="15" fillId="0" borderId="24" xfId="0" applyFont="1" applyFill="1" applyBorder="1" applyAlignment="1" applyProtection="1">
      <alignment horizontal="left"/>
    </xf>
    <xf numFmtId="0" fontId="39" fillId="5" borderId="30" xfId="0" applyFont="1" applyFill="1" applyBorder="1" applyAlignment="1">
      <alignment vertical="top"/>
    </xf>
    <xf numFmtId="0" fontId="12" fillId="4" borderId="16" xfId="11" applyFont="1" applyFill="1" applyBorder="1" applyAlignment="1">
      <alignment horizontal="left" vertical="center"/>
    </xf>
    <xf numFmtId="0" fontId="30" fillId="4" borderId="17" xfId="11" applyFont="1" applyFill="1" applyBorder="1" applyAlignment="1">
      <alignment vertical="center"/>
    </xf>
    <xf numFmtId="0" fontId="12" fillId="4" borderId="17" xfId="11" applyFont="1" applyFill="1" applyBorder="1" applyAlignment="1">
      <alignment vertical="center"/>
    </xf>
    <xf numFmtId="0" fontId="30" fillId="4" borderId="18" xfId="11" applyFont="1" applyFill="1" applyBorder="1" applyAlignment="1">
      <alignment vertical="center"/>
    </xf>
    <xf numFmtId="0" fontId="40" fillId="0" borderId="0" xfId="0" applyFont="1" applyAlignment="1">
      <alignment horizontal="left"/>
    </xf>
    <xf numFmtId="0" fontId="40" fillId="7" borderId="0" xfId="11" applyFont="1" applyFill="1"/>
    <xf numFmtId="0" fontId="40" fillId="0" borderId="0" xfId="0" applyFont="1" applyFill="1" applyAlignment="1">
      <alignment horizontal="left"/>
    </xf>
    <xf numFmtId="0" fontId="40" fillId="0" borderId="0" xfId="11" applyFont="1" applyFill="1"/>
    <xf numFmtId="0" fontId="40" fillId="0" borderId="0" xfId="11" applyFont="1" applyFill="1" applyAlignment="1">
      <alignment horizontal="left" vertical="top"/>
    </xf>
    <xf numFmtId="0" fontId="44" fillId="0" borderId="0" xfId="13" applyFont="1" applyFill="1" applyAlignment="1"/>
    <xf numFmtId="0" fontId="38" fillId="0" borderId="0" xfId="13" applyFont="1" applyFill="1" applyAlignment="1"/>
    <xf numFmtId="0" fontId="37" fillId="0" borderId="0" xfId="13" applyFont="1" applyFill="1" applyAlignment="1"/>
    <xf numFmtId="0" fontId="36" fillId="23" borderId="1" xfId="13" applyFont="1" applyFill="1" applyBorder="1" applyAlignment="1">
      <alignment horizontal="left" vertical="top" wrapText="1"/>
    </xf>
    <xf numFmtId="0" fontId="36" fillId="24" borderId="1" xfId="13" applyFont="1" applyFill="1" applyBorder="1" applyAlignment="1">
      <alignment horizontal="left" vertical="top" wrapText="1"/>
    </xf>
    <xf numFmtId="171" fontId="15" fillId="0" borderId="7" xfId="13" applyNumberFormat="1" applyFont="1" applyFill="1" applyBorder="1" applyAlignment="1"/>
    <xf numFmtId="44" fontId="15" fillId="0" borderId="0" xfId="13" applyNumberFormat="1" applyFont="1" applyFill="1" applyAlignment="1"/>
    <xf numFmtId="44" fontId="38" fillId="0" borderId="0" xfId="0" applyNumberFormat="1" applyFont="1" applyBorder="1" applyAlignment="1">
      <alignment wrapText="1"/>
    </xf>
    <xf numFmtId="0" fontId="15" fillId="5" borderId="30" xfId="0" applyFont="1" applyFill="1" applyBorder="1" applyAlignment="1" applyProtection="1"/>
    <xf numFmtId="0" fontId="14" fillId="5" borderId="25" xfId="0" applyFont="1" applyFill="1" applyBorder="1" applyAlignment="1" applyProtection="1">
      <alignment horizontal="center"/>
    </xf>
    <xf numFmtId="0" fontId="14" fillId="5" borderId="26" xfId="0" applyFont="1" applyFill="1" applyBorder="1" applyAlignment="1" applyProtection="1">
      <alignment horizontal="center"/>
    </xf>
    <xf numFmtId="0" fontId="15" fillId="5" borderId="3" xfId="0" applyFont="1" applyFill="1" applyBorder="1" applyAlignment="1" applyProtection="1"/>
    <xf numFmtId="0" fontId="14" fillId="5" borderId="0" xfId="0" applyFont="1" applyFill="1" applyBorder="1" applyAlignment="1" applyProtection="1">
      <alignment horizontal="center"/>
    </xf>
    <xf numFmtId="0" fontId="14" fillId="5" borderId="27" xfId="0" applyFont="1" applyFill="1" applyBorder="1" applyAlignment="1" applyProtection="1">
      <alignment horizontal="center"/>
    </xf>
    <xf numFmtId="0" fontId="15" fillId="5" borderId="13" xfId="0" applyFont="1" applyFill="1" applyBorder="1" applyAlignment="1" applyProtection="1"/>
    <xf numFmtId="0" fontId="14" fillId="5" borderId="28" xfId="0" applyFont="1" applyFill="1" applyBorder="1" applyAlignment="1" applyProtection="1">
      <alignment horizontal="center"/>
    </xf>
    <xf numFmtId="0" fontId="14" fillId="5" borderId="29" xfId="0" applyFont="1" applyFill="1" applyBorder="1" applyAlignment="1" applyProtection="1">
      <alignment horizontal="center"/>
    </xf>
    <xf numFmtId="0" fontId="15" fillId="5" borderId="27" xfId="0" applyFont="1" applyFill="1" applyBorder="1" applyAlignment="1" applyProtection="1"/>
    <xf numFmtId="0" fontId="14" fillId="18" borderId="71" xfId="0" applyFont="1" applyFill="1" applyBorder="1" applyAlignment="1" applyProtection="1"/>
    <xf numFmtId="0" fontId="14" fillId="18" borderId="19" xfId="0" applyFont="1" applyFill="1" applyBorder="1" applyAlignment="1" applyProtection="1">
      <alignment horizontal="center"/>
    </xf>
    <xf numFmtId="0" fontId="14" fillId="18" borderId="72" xfId="0" applyFont="1" applyFill="1" applyBorder="1" applyAlignment="1" applyProtection="1">
      <alignment horizontal="center"/>
    </xf>
    <xf numFmtId="0" fontId="15" fillId="5" borderId="29" xfId="0" applyFont="1" applyFill="1" applyBorder="1" applyAlignment="1" applyProtection="1"/>
    <xf numFmtId="0" fontId="36" fillId="5" borderId="0" xfId="0" applyFont="1" applyFill="1" applyBorder="1" applyAlignment="1" applyProtection="1">
      <alignment horizontal="center"/>
    </xf>
    <xf numFmtId="0" fontId="36" fillId="5" borderId="25" xfId="0" applyFont="1" applyFill="1" applyBorder="1" applyAlignment="1" applyProtection="1">
      <alignment horizontal="center"/>
    </xf>
    <xf numFmtId="0" fontId="36" fillId="5" borderId="28" xfId="0" applyFont="1" applyFill="1" applyBorder="1" applyAlignment="1" applyProtection="1">
      <alignment horizontal="center"/>
    </xf>
    <xf numFmtId="178" fontId="74" fillId="0" borderId="4" xfId="16" applyFont="1" applyFill="1" applyBorder="1" applyProtection="1">
      <alignment vertical="top"/>
    </xf>
    <xf numFmtId="178" fontId="74" fillId="0" borderId="5" xfId="16" applyFont="1" applyBorder="1" applyProtection="1">
      <alignment vertical="top"/>
    </xf>
    <xf numFmtId="49" fontId="74" fillId="0" borderId="5" xfId="16" applyNumberFormat="1" applyFont="1" applyBorder="1" applyAlignment="1" applyProtection="1">
      <alignment vertical="top" wrapText="1"/>
    </xf>
    <xf numFmtId="178" fontId="74" fillId="0" borderId="6" xfId="16" applyFont="1" applyBorder="1" applyProtection="1">
      <alignment vertical="top"/>
    </xf>
    <xf numFmtId="178" fontId="74" fillId="0" borderId="0" xfId="16" applyFont="1" applyProtection="1">
      <alignment vertical="top"/>
    </xf>
    <xf numFmtId="178" fontId="75" fillId="0" borderId="10" xfId="16" applyFont="1" applyFill="1" applyBorder="1" applyProtection="1">
      <alignment vertical="top"/>
    </xf>
    <xf numFmtId="178" fontId="76" fillId="0" borderId="0" xfId="16" applyFont="1" applyBorder="1" applyProtection="1">
      <alignment vertical="top"/>
    </xf>
    <xf numFmtId="178" fontId="77" fillId="0" borderId="0" xfId="16" applyFont="1" applyBorder="1" applyProtection="1">
      <alignment vertical="top"/>
    </xf>
    <xf numFmtId="49" fontId="77" fillId="0" borderId="0" xfId="16" applyNumberFormat="1" applyFont="1" applyBorder="1" applyAlignment="1" applyProtection="1">
      <alignment vertical="top" wrapText="1"/>
    </xf>
    <xf numFmtId="178" fontId="77" fillId="0" borderId="42" xfId="16" applyFont="1" applyBorder="1" applyProtection="1">
      <alignment vertical="top"/>
    </xf>
    <xf numFmtId="178" fontId="77" fillId="0" borderId="0" xfId="16" applyFont="1" applyProtection="1">
      <alignment vertical="top"/>
    </xf>
    <xf numFmtId="178" fontId="74" fillId="0" borderId="10" xfId="16" applyFont="1" applyFill="1" applyBorder="1" applyProtection="1">
      <alignment vertical="top"/>
    </xf>
    <xf numFmtId="178" fontId="78" fillId="0" borderId="0" xfId="16" applyFont="1" applyBorder="1" applyProtection="1">
      <alignment vertical="top"/>
    </xf>
    <xf numFmtId="178" fontId="74" fillId="0" borderId="0" xfId="16" applyFont="1" applyBorder="1" applyProtection="1">
      <alignment vertical="top"/>
    </xf>
    <xf numFmtId="49" fontId="74" fillId="0" borderId="0" xfId="16" applyNumberFormat="1" applyFont="1" applyBorder="1" applyAlignment="1" applyProtection="1">
      <alignment vertical="top" wrapText="1"/>
    </xf>
    <xf numFmtId="178" fontId="74" fillId="0" borderId="42" xfId="16" applyFont="1" applyBorder="1" applyProtection="1">
      <alignment vertical="top"/>
    </xf>
    <xf numFmtId="178" fontId="74" fillId="0" borderId="0" xfId="16" applyFont="1" applyFill="1" applyBorder="1" applyProtection="1">
      <alignment vertical="top"/>
    </xf>
    <xf numFmtId="178" fontId="74" fillId="0" borderId="48" xfId="16" applyFont="1" applyBorder="1" applyProtection="1">
      <alignment vertical="top"/>
    </xf>
    <xf numFmtId="178" fontId="74" fillId="0" borderId="0" xfId="16" applyFont="1" applyFill="1" applyProtection="1">
      <alignment vertical="top"/>
    </xf>
    <xf numFmtId="178" fontId="79" fillId="21" borderId="0" xfId="16" applyFont="1" applyFill="1" applyProtection="1">
      <alignment vertical="top"/>
    </xf>
    <xf numFmtId="178" fontId="80" fillId="21" borderId="0" xfId="16" applyFont="1" applyFill="1" applyProtection="1">
      <alignment vertical="top"/>
    </xf>
    <xf numFmtId="49" fontId="79" fillId="21" borderId="0" xfId="16" applyNumberFormat="1" applyFont="1" applyFill="1" applyBorder="1" applyAlignment="1" applyProtection="1">
      <alignment vertical="top" wrapText="1"/>
    </xf>
    <xf numFmtId="178" fontId="79" fillId="21" borderId="0" xfId="16" applyFont="1" applyFill="1" applyBorder="1" applyProtection="1">
      <alignment vertical="top"/>
    </xf>
    <xf numFmtId="49" fontId="74" fillId="0" borderId="0" xfId="16" applyNumberFormat="1" applyFont="1" applyAlignment="1" applyProtection="1">
      <alignment vertical="top" wrapText="1"/>
    </xf>
    <xf numFmtId="178" fontId="81" fillId="0" borderId="0" xfId="16" applyFont="1" applyProtection="1">
      <alignment vertical="top"/>
    </xf>
    <xf numFmtId="178" fontId="82" fillId="0" borderId="0" xfId="16" applyFont="1" applyBorder="1" applyProtection="1">
      <alignment vertical="top"/>
    </xf>
    <xf numFmtId="178" fontId="84" fillId="0" borderId="5" xfId="16" applyFont="1" applyBorder="1" applyProtection="1">
      <alignment vertical="top"/>
    </xf>
    <xf numFmtId="178" fontId="85" fillId="0" borderId="0" xfId="16" applyFont="1" applyBorder="1" applyProtection="1">
      <alignment vertical="top"/>
    </xf>
    <xf numFmtId="178" fontId="84" fillId="0" borderId="0" xfId="16" applyFont="1" applyBorder="1" applyProtection="1">
      <alignment vertical="top"/>
    </xf>
    <xf numFmtId="178" fontId="79" fillId="24" borderId="49" xfId="16" applyFont="1" applyFill="1" applyBorder="1" applyProtection="1">
      <alignment vertical="top"/>
    </xf>
    <xf numFmtId="178" fontId="86" fillId="24" borderId="49" xfId="16" applyFont="1" applyFill="1" applyBorder="1" applyProtection="1">
      <alignment vertical="top"/>
    </xf>
    <xf numFmtId="178" fontId="79" fillId="24" borderId="50" xfId="16" applyFont="1" applyFill="1" applyBorder="1" applyProtection="1">
      <alignment vertical="top"/>
    </xf>
    <xf numFmtId="178" fontId="79" fillId="0" borderId="0" xfId="16" applyFont="1" applyProtection="1">
      <alignment vertical="top"/>
    </xf>
    <xf numFmtId="178" fontId="84" fillId="0" borderId="0" xfId="16" applyFont="1" applyProtection="1">
      <alignment vertical="top"/>
    </xf>
    <xf numFmtId="179" fontId="74" fillId="25" borderId="47" xfId="16" applyNumberFormat="1" applyFont="1" applyFill="1" applyBorder="1" applyAlignment="1" applyProtection="1">
      <alignment horizontal="right" vertical="top"/>
    </xf>
    <xf numFmtId="180" fontId="84" fillId="25" borderId="47" xfId="18" applyFont="1" applyFill="1" applyBorder="1" applyAlignment="1" applyProtection="1">
      <alignment horizontal="right" vertical="top"/>
    </xf>
    <xf numFmtId="180" fontId="87" fillId="7" borderId="52" xfId="18" applyFont="1" applyFill="1" applyBorder="1" applyProtection="1">
      <alignment vertical="top"/>
    </xf>
    <xf numFmtId="180" fontId="87" fillId="7" borderId="0" xfId="18" applyFont="1" applyFill="1" applyBorder="1" applyProtection="1">
      <alignment vertical="top"/>
    </xf>
    <xf numFmtId="180" fontId="83" fillId="7" borderId="0" xfId="18" applyFont="1" applyFill="1" applyBorder="1" applyProtection="1">
      <alignment vertical="top"/>
    </xf>
    <xf numFmtId="0" fontId="9" fillId="0" borderId="0" xfId="0" applyFont="1" applyProtection="1"/>
    <xf numFmtId="178" fontId="40" fillId="0" borderId="0" xfId="16" applyFont="1" applyProtection="1">
      <alignment vertical="top"/>
    </xf>
    <xf numFmtId="178" fontId="40" fillId="0" borderId="0" xfId="16" applyFont="1" applyBorder="1" applyProtection="1">
      <alignment vertical="top"/>
    </xf>
    <xf numFmtId="178" fontId="40" fillId="0" borderId="42" xfId="16" applyFont="1" applyBorder="1" applyProtection="1">
      <alignment vertical="top"/>
    </xf>
    <xf numFmtId="178" fontId="40" fillId="0" borderId="10" xfId="16" applyFont="1" applyFill="1" applyBorder="1" applyProtection="1">
      <alignment vertical="top"/>
    </xf>
    <xf numFmtId="178" fontId="40" fillId="0" borderId="0" xfId="16" applyFont="1" applyFill="1" applyBorder="1" applyProtection="1">
      <alignment vertical="top"/>
    </xf>
    <xf numFmtId="178" fontId="40" fillId="0" borderId="0" xfId="16" applyFont="1" applyFill="1" applyProtection="1">
      <alignment vertical="top"/>
    </xf>
    <xf numFmtId="178" fontId="36" fillId="21" borderId="0" xfId="16" applyFont="1" applyFill="1" applyBorder="1" applyProtection="1">
      <alignment vertical="top"/>
    </xf>
    <xf numFmtId="178" fontId="40" fillId="21" borderId="0" xfId="16" applyFont="1" applyFill="1" applyBorder="1" applyProtection="1">
      <alignment vertical="top"/>
    </xf>
    <xf numFmtId="178" fontId="89" fillId="21" borderId="0" xfId="16" applyFont="1" applyFill="1" applyBorder="1" applyProtection="1">
      <alignment vertical="top"/>
    </xf>
    <xf numFmtId="1" fontId="36" fillId="25" borderId="0" xfId="16" applyNumberFormat="1" applyFont="1" applyFill="1" applyProtection="1">
      <alignment vertical="top"/>
    </xf>
    <xf numFmtId="178" fontId="73" fillId="0" borderId="0" xfId="16" applyFont="1" applyBorder="1" applyProtection="1">
      <alignment vertical="top"/>
    </xf>
    <xf numFmtId="178" fontId="90" fillId="0" borderId="0" xfId="16" applyFont="1" applyProtection="1">
      <alignment vertical="top"/>
    </xf>
    <xf numFmtId="178" fontId="40" fillId="0" borderId="42" xfId="16" applyFont="1" applyFill="1" applyBorder="1" applyProtection="1">
      <alignment vertical="top"/>
    </xf>
    <xf numFmtId="178" fontId="36" fillId="0" borderId="0" xfId="16" applyFont="1" applyFill="1" applyProtection="1">
      <alignment vertical="top"/>
    </xf>
    <xf numFmtId="49" fontId="40" fillId="0" borderId="0" xfId="16" applyNumberFormat="1" applyFont="1" applyAlignment="1" applyProtection="1">
      <alignment vertical="top" wrapText="1"/>
    </xf>
    <xf numFmtId="178" fontId="73" fillId="0" borderId="0" xfId="16" applyFont="1" applyProtection="1">
      <alignment vertical="top"/>
    </xf>
    <xf numFmtId="178" fontId="90" fillId="0" borderId="0" xfId="16" applyFont="1" applyFill="1" applyBorder="1" applyProtection="1">
      <alignment vertical="top"/>
    </xf>
    <xf numFmtId="180" fontId="15" fillId="13" borderId="47" xfId="18" applyFont="1" applyFill="1" applyBorder="1" applyProtection="1">
      <alignment vertical="top"/>
      <protection locked="0"/>
    </xf>
    <xf numFmtId="49" fontId="36" fillId="21" borderId="0" xfId="16" applyNumberFormat="1" applyFont="1" applyFill="1" applyBorder="1" applyAlignment="1" applyProtection="1">
      <alignment vertical="top" wrapText="1"/>
    </xf>
    <xf numFmtId="180" fontId="15" fillId="25" borderId="47" xfId="18" applyFont="1" applyFill="1" applyBorder="1" applyProtection="1">
      <alignment vertical="top"/>
    </xf>
    <xf numFmtId="180" fontId="15" fillId="0" borderId="0" xfId="18" applyFont="1" applyFill="1" applyBorder="1" applyProtection="1">
      <alignment vertical="top"/>
    </xf>
    <xf numFmtId="182" fontId="15" fillId="25" borderId="47" xfId="18" applyNumberFormat="1" applyFont="1" applyFill="1" applyBorder="1" applyProtection="1">
      <alignment vertical="top"/>
    </xf>
    <xf numFmtId="2" fontId="15" fillId="25" borderId="47" xfId="18" applyNumberFormat="1" applyFont="1" applyFill="1" applyBorder="1" applyProtection="1">
      <alignment vertical="top"/>
    </xf>
    <xf numFmtId="49" fontId="92" fillId="0" borderId="0" xfId="17" applyNumberFormat="1" applyFont="1" applyBorder="1" applyAlignment="1" applyProtection="1">
      <alignment horizontal="left" vertical="top" wrapText="1"/>
    </xf>
    <xf numFmtId="178" fontId="36" fillId="21" borderId="0" xfId="16" applyFont="1" applyFill="1" applyProtection="1">
      <alignment vertical="top"/>
    </xf>
    <xf numFmtId="49" fontId="40" fillId="0" borderId="0" xfId="16" applyNumberFormat="1" applyFont="1" applyFill="1" applyBorder="1" applyAlignment="1" applyProtection="1">
      <alignment vertical="top" wrapText="1"/>
    </xf>
    <xf numFmtId="179" fontId="40" fillId="13" borderId="47" xfId="16" applyNumberFormat="1" applyFont="1" applyFill="1" applyBorder="1" applyProtection="1">
      <alignment vertical="top"/>
      <protection locked="0"/>
    </xf>
    <xf numFmtId="178" fontId="91" fillId="0" borderId="0" xfId="16" applyFont="1" applyBorder="1" applyProtection="1">
      <alignment vertical="top"/>
    </xf>
    <xf numFmtId="178" fontId="93" fillId="0" borderId="0" xfId="16" applyFont="1" applyBorder="1" applyProtection="1">
      <alignment vertical="top"/>
    </xf>
    <xf numFmtId="178" fontId="94" fillId="0" borderId="0" xfId="16" applyFont="1" applyBorder="1" applyAlignment="1" applyProtection="1">
      <alignment horizontal="right" vertical="top"/>
    </xf>
    <xf numFmtId="179" fontId="40" fillId="25" borderId="47" xfId="16" applyNumberFormat="1" applyFont="1" applyFill="1" applyBorder="1" applyProtection="1">
      <alignment vertical="top"/>
    </xf>
    <xf numFmtId="49" fontId="40" fillId="0" borderId="0" xfId="16" applyNumberFormat="1" applyFont="1" applyFill="1" applyAlignment="1" applyProtection="1">
      <alignment vertical="top" wrapText="1"/>
    </xf>
    <xf numFmtId="178" fontId="90" fillId="0" borderId="0" xfId="16" applyFont="1" applyFill="1" applyProtection="1">
      <alignment vertical="top"/>
    </xf>
    <xf numFmtId="178" fontId="40" fillId="21" borderId="0" xfId="16" applyFont="1" applyFill="1" applyProtection="1">
      <alignment vertical="top"/>
    </xf>
    <xf numFmtId="1" fontId="36" fillId="0" borderId="0" xfId="16" applyNumberFormat="1" applyFont="1" applyFill="1" applyBorder="1" applyProtection="1">
      <alignment vertical="top"/>
    </xf>
    <xf numFmtId="178" fontId="40" fillId="0" borderId="0" xfId="16" applyFont="1" applyBorder="1" applyAlignment="1" applyProtection="1">
      <alignment horizontal="left" vertical="center" wrapText="1"/>
    </xf>
    <xf numFmtId="49" fontId="40" fillId="0" borderId="0" xfId="16" applyNumberFormat="1" applyFont="1" applyBorder="1" applyAlignment="1" applyProtection="1">
      <alignment horizontal="left" vertical="center" wrapText="1"/>
    </xf>
    <xf numFmtId="178" fontId="15" fillId="26" borderId="0" xfId="16" applyFont="1" applyFill="1" applyBorder="1" applyAlignment="1" applyProtection="1">
      <alignment horizontal="center" vertical="top"/>
    </xf>
    <xf numFmtId="178" fontId="40" fillId="0" borderId="64" xfId="16" applyFont="1" applyBorder="1" applyProtection="1">
      <alignment vertical="top"/>
    </xf>
    <xf numFmtId="178" fontId="91" fillId="0" borderId="64" xfId="16" applyFont="1" applyBorder="1" applyProtection="1">
      <alignment vertical="top"/>
    </xf>
    <xf numFmtId="178" fontId="40" fillId="0" borderId="65" xfId="16" applyFont="1" applyBorder="1" applyProtection="1">
      <alignment vertical="top"/>
    </xf>
    <xf numFmtId="178" fontId="40" fillId="0" borderId="63" xfId="16" applyFont="1" applyBorder="1" applyProtection="1">
      <alignment vertical="top"/>
    </xf>
    <xf numFmtId="9" fontId="15" fillId="13" borderId="47" xfId="18" applyNumberFormat="1" applyFont="1" applyFill="1" applyBorder="1" applyProtection="1">
      <alignment vertical="top"/>
      <protection locked="0"/>
    </xf>
    <xf numFmtId="9" fontId="15" fillId="0" borderId="0" xfId="18" applyNumberFormat="1" applyFont="1" applyFill="1" applyBorder="1" applyProtection="1">
      <alignment vertical="top"/>
    </xf>
    <xf numFmtId="178" fontId="90" fillId="0" borderId="0" xfId="16" applyFont="1" applyBorder="1" applyAlignment="1" applyProtection="1">
      <alignment horizontal="left" vertical="center" wrapText="1" indent="2"/>
    </xf>
    <xf numFmtId="178" fontId="40" fillId="0" borderId="0" xfId="16" applyFont="1" applyBorder="1" applyAlignment="1" applyProtection="1">
      <alignment wrapText="1"/>
    </xf>
    <xf numFmtId="178" fontId="95" fillId="0" borderId="0" xfId="16" applyFont="1" applyBorder="1" applyProtection="1">
      <alignment vertical="top"/>
    </xf>
    <xf numFmtId="178" fontId="40" fillId="0" borderId="0" xfId="16" applyFont="1" applyAlignment="1" applyProtection="1"/>
    <xf numFmtId="178" fontId="40" fillId="0" borderId="0" xfId="16" applyFont="1" applyAlignment="1" applyProtection="1">
      <alignment vertical="top" wrapText="1"/>
    </xf>
    <xf numFmtId="180" fontId="15" fillId="0" borderId="0" xfId="18" applyFont="1" applyBorder="1" applyProtection="1">
      <alignment vertical="top"/>
    </xf>
    <xf numFmtId="49" fontId="15" fillId="0" borderId="0" xfId="18" applyNumberFormat="1" applyFont="1" applyBorder="1" applyAlignment="1" applyProtection="1">
      <alignment vertical="top" wrapText="1"/>
    </xf>
    <xf numFmtId="180" fontId="15" fillId="0" borderId="0" xfId="18" applyFont="1" applyProtection="1">
      <alignment vertical="top"/>
    </xf>
    <xf numFmtId="49" fontId="15" fillId="0" borderId="0" xfId="18" applyNumberFormat="1" applyFont="1" applyAlignment="1" applyProtection="1">
      <alignment vertical="top" wrapText="1"/>
    </xf>
    <xf numFmtId="49" fontId="40" fillId="0" borderId="0" xfId="16" applyNumberFormat="1" applyFont="1" applyBorder="1" applyAlignment="1" applyProtection="1">
      <alignment wrapText="1"/>
    </xf>
    <xf numFmtId="178" fontId="40" fillId="0" borderId="0" xfId="16" applyFont="1" applyBorder="1" applyAlignment="1" applyProtection="1"/>
    <xf numFmtId="179" fontId="15" fillId="25" borderId="47" xfId="19" applyNumberFormat="1" applyFont="1" applyFill="1" applyBorder="1" applyProtection="1">
      <alignment vertical="top"/>
    </xf>
    <xf numFmtId="181" fontId="40" fillId="0" borderId="0" xfId="16" applyNumberFormat="1" applyFont="1" applyProtection="1">
      <alignment vertical="top"/>
    </xf>
    <xf numFmtId="49" fontId="40" fillId="0" borderId="0" xfId="16" applyNumberFormat="1" applyFont="1" applyBorder="1" applyAlignment="1" applyProtection="1">
      <alignment vertical="top" wrapText="1"/>
    </xf>
    <xf numFmtId="178" fontId="90" fillId="0" borderId="0" xfId="16" applyFont="1" applyBorder="1" applyProtection="1">
      <alignment vertical="top"/>
    </xf>
    <xf numFmtId="178" fontId="14" fillId="0" borderId="0" xfId="16" applyFont="1" applyProtection="1">
      <alignment vertical="top"/>
    </xf>
    <xf numFmtId="0" fontId="40" fillId="13" borderId="47" xfId="15" applyNumberFormat="1" applyFont="1" applyFill="1" applyBorder="1" applyAlignment="1" applyProtection="1">
      <alignment vertical="top"/>
      <protection locked="0"/>
    </xf>
    <xf numFmtId="2" fontId="15" fillId="16" borderId="47" xfId="19" applyNumberFormat="1" applyFont="1" applyFill="1" applyBorder="1" applyProtection="1">
      <alignment vertical="top"/>
    </xf>
    <xf numFmtId="178" fontId="37" fillId="0" borderId="0" xfId="16" applyFont="1" applyProtection="1">
      <alignment vertical="top"/>
    </xf>
    <xf numFmtId="178" fontId="88" fillId="25" borderId="0" xfId="16" applyFont="1" applyFill="1" applyProtection="1">
      <alignment vertical="top"/>
    </xf>
    <xf numFmtId="167" fontId="15" fillId="22" borderId="2" xfId="0" applyNumberFormat="1" applyFont="1" applyFill="1" applyBorder="1" applyAlignment="1" applyProtection="1">
      <alignment vertical="top" wrapText="1"/>
      <protection locked="0"/>
    </xf>
    <xf numFmtId="167" fontId="15" fillId="22" borderId="24" xfId="0" applyNumberFormat="1" applyFont="1" applyFill="1" applyBorder="1" applyAlignment="1" applyProtection="1">
      <alignment vertical="top" wrapText="1"/>
      <protection locked="0"/>
    </xf>
    <xf numFmtId="164" fontId="15" fillId="21" borderId="32" xfId="0" applyNumberFormat="1" applyFont="1" applyFill="1" applyBorder="1" applyAlignment="1" applyProtection="1">
      <alignment horizontal="left" vertical="top"/>
    </xf>
    <xf numFmtId="164" fontId="15" fillId="21" borderId="33" xfId="0" applyNumberFormat="1" applyFont="1" applyFill="1" applyBorder="1" applyAlignment="1" applyProtection="1">
      <alignment horizontal="left" vertical="top"/>
    </xf>
    <xf numFmtId="164" fontId="15" fillId="21" borderId="29" xfId="0" applyNumberFormat="1" applyFont="1" applyFill="1" applyBorder="1" applyAlignment="1" applyProtection="1">
      <alignment horizontal="left" vertical="top"/>
    </xf>
    <xf numFmtId="173" fontId="15" fillId="21" borderId="14" xfId="8" applyNumberFormat="1" applyFont="1" applyFill="1" applyBorder="1" applyAlignment="1" applyProtection="1">
      <alignment vertical="top"/>
    </xf>
    <xf numFmtId="0" fontId="38" fillId="0" borderId="0" xfId="13" applyFont="1" applyAlignment="1">
      <alignment horizontal="left" vertical="top"/>
    </xf>
    <xf numFmtId="178" fontId="96" fillId="0" borderId="0" xfId="16" applyFont="1" applyBorder="1" applyAlignment="1" applyProtection="1">
      <alignment wrapText="1"/>
    </xf>
    <xf numFmtId="49" fontId="96" fillId="0" borderId="0" xfId="16" applyNumberFormat="1" applyFont="1" applyAlignment="1" applyProtection="1">
      <alignment vertical="top" wrapText="1"/>
    </xf>
    <xf numFmtId="178" fontId="96" fillId="21" borderId="0" xfId="16" applyFont="1" applyFill="1" applyBorder="1" applyProtection="1">
      <alignment vertical="top"/>
    </xf>
    <xf numFmtId="178" fontId="96" fillId="0" borderId="0" xfId="16" applyFont="1" applyProtection="1">
      <alignment vertical="top"/>
    </xf>
    <xf numFmtId="178" fontId="97" fillId="0" borderId="0" xfId="16" applyFont="1" applyBorder="1" applyProtection="1">
      <alignment vertical="top"/>
    </xf>
    <xf numFmtId="178" fontId="36" fillId="27" borderId="0" xfId="16" applyFont="1" applyFill="1" applyBorder="1" applyProtection="1">
      <alignment vertical="top"/>
    </xf>
    <xf numFmtId="178" fontId="40" fillId="27" borderId="0" xfId="16" applyFont="1" applyFill="1" applyBorder="1" applyProtection="1">
      <alignment vertical="top"/>
    </xf>
    <xf numFmtId="178" fontId="98" fillId="27" borderId="0" xfId="16" applyFont="1" applyFill="1" applyProtection="1">
      <alignment vertical="top"/>
    </xf>
    <xf numFmtId="178" fontId="99" fillId="0" borderId="0" xfId="16" applyFont="1" applyProtection="1">
      <alignment vertical="top"/>
    </xf>
    <xf numFmtId="1" fontId="40" fillId="21" borderId="0" xfId="16" applyNumberFormat="1" applyFont="1" applyFill="1" applyBorder="1" applyProtection="1">
      <alignment vertical="top"/>
    </xf>
    <xf numFmtId="1" fontId="40" fillId="20" borderId="47" xfId="16" applyNumberFormat="1" applyFont="1" applyFill="1" applyBorder="1" applyAlignment="1" applyProtection="1">
      <alignment horizontal="right" vertical="top"/>
    </xf>
    <xf numFmtId="9" fontId="15" fillId="25" borderId="47" xfId="18" applyNumberFormat="1" applyFont="1" applyFill="1" applyBorder="1" applyProtection="1">
      <alignment vertical="top"/>
    </xf>
    <xf numFmtId="0" fontId="89" fillId="27" borderId="0" xfId="16" applyNumberFormat="1" applyFont="1" applyFill="1" applyBorder="1" applyProtection="1">
      <alignment vertical="top"/>
    </xf>
    <xf numFmtId="0" fontId="14" fillId="0" borderId="1" xfId="0" applyFont="1" applyFill="1" applyBorder="1" applyAlignment="1">
      <alignment horizontal="left" vertical="top"/>
    </xf>
    <xf numFmtId="0" fontId="14" fillId="0" borderId="1" xfId="0" applyFont="1" applyBorder="1" applyAlignment="1">
      <alignment horizontal="left" vertical="top"/>
    </xf>
    <xf numFmtId="0" fontId="14" fillId="0" borderId="2" xfId="0" applyFont="1" applyBorder="1" applyAlignment="1">
      <alignment vertical="top"/>
    </xf>
    <xf numFmtId="0" fontId="14" fillId="0" borderId="9" xfId="0" applyFont="1" applyBorder="1" applyAlignment="1">
      <alignment vertical="top"/>
    </xf>
    <xf numFmtId="0" fontId="10" fillId="0" borderId="9" xfId="0" applyFont="1" applyBorder="1" applyAlignment="1">
      <alignment vertical="top"/>
    </xf>
    <xf numFmtId="0" fontId="14" fillId="0" borderId="8" xfId="0" applyFont="1" applyBorder="1" applyAlignment="1">
      <alignment vertical="top"/>
    </xf>
    <xf numFmtId="0" fontId="14" fillId="22" borderId="8" xfId="13" applyFont="1" applyFill="1" applyBorder="1" applyAlignment="1" applyProtection="1">
      <protection locked="0"/>
    </xf>
    <xf numFmtId="0" fontId="38" fillId="0" borderId="0" xfId="0" applyFont="1" applyBorder="1" applyAlignment="1"/>
    <xf numFmtId="1" fontId="36" fillId="21" borderId="0" xfId="16" applyNumberFormat="1" applyFont="1" applyFill="1" applyAlignment="1" applyProtection="1">
      <alignment horizontal="center" vertical="top"/>
    </xf>
    <xf numFmtId="178" fontId="36" fillId="21" borderId="0" xfId="16" applyFont="1" applyFill="1" applyBorder="1" applyAlignment="1" applyProtection="1">
      <alignment horizontal="center" vertical="top"/>
    </xf>
    <xf numFmtId="178" fontId="37" fillId="0" borderId="0" xfId="16" applyFont="1" applyFill="1" applyProtection="1">
      <alignment vertical="top"/>
    </xf>
    <xf numFmtId="178" fontId="40" fillId="0" borderId="0" xfId="16" applyFont="1" applyAlignment="1" applyProtection="1">
      <alignment horizontal="center" vertical="top"/>
    </xf>
    <xf numFmtId="178" fontId="36" fillId="0" borderId="0" xfId="16" applyFont="1" applyProtection="1">
      <alignment vertical="top"/>
    </xf>
    <xf numFmtId="178" fontId="40" fillId="13" borderId="47" xfId="16" applyFont="1" applyFill="1" applyBorder="1" applyProtection="1">
      <alignment vertical="top"/>
      <protection locked="0"/>
    </xf>
    <xf numFmtId="178" fontId="40" fillId="13" borderId="47" xfId="16" applyFont="1" applyFill="1" applyBorder="1" applyAlignment="1" applyProtection="1">
      <alignment horizontal="center" vertical="top"/>
      <protection locked="0"/>
    </xf>
    <xf numFmtId="183" fontId="15" fillId="13" borderId="47" xfId="18" applyNumberFormat="1" applyFont="1" applyFill="1" applyBorder="1" applyAlignment="1" applyProtection="1">
      <alignment horizontal="center" vertical="top"/>
      <protection locked="0"/>
    </xf>
    <xf numFmtId="178" fontId="15" fillId="13" borderId="47" xfId="16" applyFont="1" applyFill="1" applyBorder="1" applyAlignment="1" applyProtection="1">
      <alignment horizontal="center" vertical="top"/>
      <protection locked="0"/>
    </xf>
    <xf numFmtId="1" fontId="36" fillId="21" borderId="0" xfId="16" applyNumberFormat="1" applyFont="1" applyFill="1" applyProtection="1">
      <alignment vertical="top"/>
    </xf>
    <xf numFmtId="178" fontId="36" fillId="0" borderId="0" xfId="16" applyFont="1" applyFill="1" applyBorder="1" applyProtection="1">
      <alignment vertical="top"/>
    </xf>
    <xf numFmtId="1" fontId="36" fillId="0" borderId="0" xfId="16" applyNumberFormat="1" applyFont="1" applyFill="1" applyProtection="1">
      <alignment vertical="top"/>
    </xf>
    <xf numFmtId="178" fontId="73" fillId="0" borderId="4" xfId="16" applyFont="1" applyBorder="1" applyProtection="1">
      <alignment vertical="top"/>
    </xf>
    <xf numFmtId="178" fontId="40" fillId="0" borderId="5" xfId="16" applyFont="1" applyBorder="1" applyProtection="1">
      <alignment vertical="top"/>
    </xf>
    <xf numFmtId="178" fontId="36" fillId="0" borderId="5" xfId="16" applyFont="1" applyBorder="1" applyProtection="1">
      <alignment vertical="top"/>
    </xf>
    <xf numFmtId="49" fontId="40" fillId="0" borderId="5" xfId="16" applyNumberFormat="1" applyFont="1" applyBorder="1" applyAlignment="1" applyProtection="1">
      <alignment vertical="top" wrapText="1"/>
    </xf>
    <xf numFmtId="178" fontId="40" fillId="0" borderId="6" xfId="16" applyFont="1" applyBorder="1" applyProtection="1">
      <alignment vertical="top"/>
    </xf>
    <xf numFmtId="178" fontId="40" fillId="23" borderId="10" xfId="16" applyFont="1" applyFill="1" applyBorder="1" applyProtection="1">
      <alignment vertical="top"/>
    </xf>
    <xf numFmtId="178" fontId="40" fillId="23" borderId="0" xfId="16" applyFont="1" applyFill="1" applyBorder="1" applyProtection="1">
      <alignment vertical="top"/>
    </xf>
    <xf numFmtId="178" fontId="15" fillId="25" borderId="47" xfId="19" applyFont="1" applyFill="1" applyBorder="1" applyProtection="1">
      <alignment vertical="top"/>
    </xf>
    <xf numFmtId="49" fontId="40" fillId="23" borderId="0" xfId="16" applyNumberFormat="1" applyFont="1" applyFill="1" applyBorder="1" applyAlignment="1" applyProtection="1">
      <alignment vertical="top" wrapText="1"/>
    </xf>
    <xf numFmtId="178" fontId="40" fillId="23" borderId="42" xfId="16" applyFont="1" applyFill="1" applyBorder="1" applyProtection="1">
      <alignment vertical="top"/>
    </xf>
    <xf numFmtId="178" fontId="40" fillId="25" borderId="47" xfId="16" applyFont="1" applyFill="1" applyBorder="1" applyProtection="1">
      <alignment vertical="top"/>
    </xf>
    <xf numFmtId="178" fontId="99" fillId="23" borderId="10" xfId="16" applyFont="1" applyFill="1" applyBorder="1" applyProtection="1">
      <alignment vertical="top"/>
    </xf>
    <xf numFmtId="178" fontId="99" fillId="23" borderId="0" xfId="16" applyFont="1" applyFill="1" applyBorder="1" applyProtection="1">
      <alignment vertical="top"/>
    </xf>
    <xf numFmtId="178" fontId="99" fillId="23" borderId="11" xfId="16" applyFont="1" applyFill="1" applyBorder="1" applyProtection="1">
      <alignment vertical="top"/>
    </xf>
    <xf numFmtId="178" fontId="99" fillId="23" borderId="12" xfId="16" applyFont="1" applyFill="1" applyBorder="1" applyProtection="1">
      <alignment vertical="top"/>
    </xf>
    <xf numFmtId="178" fontId="40" fillId="23" borderId="12" xfId="16" applyFont="1" applyFill="1" applyBorder="1" applyProtection="1">
      <alignment vertical="top"/>
    </xf>
    <xf numFmtId="178" fontId="40" fillId="23" borderId="43" xfId="16" applyFont="1" applyFill="1" applyBorder="1" applyProtection="1">
      <alignment vertical="top"/>
    </xf>
    <xf numFmtId="178" fontId="40" fillId="25" borderId="51" xfId="16" applyFont="1" applyFill="1" applyBorder="1" applyProtection="1">
      <alignment vertical="top"/>
    </xf>
    <xf numFmtId="178" fontId="73" fillId="23" borderId="4" xfId="16" applyFont="1" applyFill="1" applyBorder="1" applyProtection="1">
      <alignment vertical="top"/>
    </xf>
    <xf numFmtId="178" fontId="40" fillId="23" borderId="5" xfId="16" applyFont="1" applyFill="1" applyBorder="1" applyProtection="1">
      <alignment vertical="top"/>
    </xf>
    <xf numFmtId="178" fontId="36" fillId="23" borderId="5" xfId="16" applyFont="1" applyFill="1" applyBorder="1" applyProtection="1">
      <alignment vertical="top"/>
    </xf>
    <xf numFmtId="49" fontId="40" fillId="23" borderId="5" xfId="16" applyNumberFormat="1" applyFont="1" applyFill="1" applyBorder="1" applyAlignment="1" applyProtection="1">
      <alignment vertical="top" wrapText="1"/>
    </xf>
    <xf numFmtId="178" fontId="40" fillId="23" borderId="6" xfId="16" applyFont="1" applyFill="1" applyBorder="1" applyProtection="1">
      <alignment vertical="top"/>
    </xf>
    <xf numFmtId="178" fontId="36" fillId="24" borderId="49" xfId="16" applyFont="1" applyFill="1" applyBorder="1" applyProtection="1">
      <alignment vertical="top"/>
    </xf>
    <xf numFmtId="178" fontId="98" fillId="24" borderId="49" xfId="16" applyFont="1" applyFill="1" applyBorder="1" applyProtection="1">
      <alignment vertical="top"/>
    </xf>
    <xf numFmtId="178" fontId="36" fillId="24" borderId="50" xfId="16" applyFont="1" applyFill="1" applyBorder="1" applyProtection="1">
      <alignment vertical="top"/>
    </xf>
    <xf numFmtId="178" fontId="98" fillId="21" borderId="0" xfId="16" applyFont="1" applyFill="1" applyProtection="1">
      <alignment vertical="top"/>
    </xf>
    <xf numFmtId="179" fontId="99" fillId="0" borderId="0" xfId="16" applyNumberFormat="1" applyFont="1" applyFill="1" applyBorder="1" applyProtection="1">
      <alignment vertical="top"/>
    </xf>
    <xf numFmtId="178" fontId="18" fillId="0" borderId="0" xfId="16" applyFont="1" applyBorder="1" applyAlignment="1" applyProtection="1">
      <alignment vertical="top"/>
    </xf>
    <xf numFmtId="178" fontId="36" fillId="0" borderId="0" xfId="16" applyFont="1" applyBorder="1" applyProtection="1">
      <alignment vertical="top"/>
    </xf>
    <xf numFmtId="178" fontId="15" fillId="0" borderId="0" xfId="16" applyFont="1" applyProtection="1">
      <alignment vertical="top"/>
    </xf>
    <xf numFmtId="169" fontId="15" fillId="22" borderId="1" xfId="1" applyNumberFormat="1" applyFont="1" applyFill="1" applyBorder="1" applyAlignment="1" applyProtection="1">
      <protection locked="0"/>
    </xf>
    <xf numFmtId="169" fontId="15" fillId="22" borderId="23" xfId="1" applyNumberFormat="1" applyFont="1" applyFill="1" applyBorder="1" applyAlignment="1" applyProtection="1">
      <protection locked="0"/>
    </xf>
    <xf numFmtId="0" fontId="100" fillId="5" borderId="30" xfId="0" applyFont="1" applyFill="1" applyBorder="1" applyAlignment="1">
      <alignment vertical="top"/>
    </xf>
    <xf numFmtId="0" fontId="101" fillId="0" borderId="0" xfId="13" applyFont="1" applyProtection="1"/>
    <xf numFmtId="0" fontId="102" fillId="0" borderId="0" xfId="13" applyFont="1" applyProtection="1"/>
    <xf numFmtId="178" fontId="11" fillId="21" borderId="0" xfId="16" applyFont="1" applyFill="1" applyBorder="1" applyProtection="1">
      <alignment vertical="top"/>
    </xf>
    <xf numFmtId="178" fontId="14" fillId="21" borderId="0" xfId="16" applyFont="1" applyFill="1" applyBorder="1" applyProtection="1">
      <alignment vertical="top"/>
    </xf>
    <xf numFmtId="0" fontId="103" fillId="7" borderId="0" xfId="11" applyFont="1" applyFill="1" applyAlignment="1">
      <alignment vertical="top"/>
    </xf>
    <xf numFmtId="0" fontId="21" fillId="0" borderId="0" xfId="4" applyFont="1" applyFill="1" applyAlignment="1" applyProtection="1">
      <alignment vertical="top"/>
    </xf>
    <xf numFmtId="0" fontId="21" fillId="0" borderId="0" xfId="4" applyFont="1" applyFill="1" applyAlignment="1" applyProtection="1"/>
    <xf numFmtId="0" fontId="15" fillId="25" borderId="8" xfId="0" applyFont="1" applyFill="1" applyBorder="1" applyAlignment="1" applyProtection="1">
      <alignment horizontal="left" vertical="top"/>
    </xf>
    <xf numFmtId="1" fontId="40" fillId="0" borderId="1" xfId="16" applyNumberFormat="1" applyFont="1" applyFill="1" applyBorder="1" applyAlignment="1" applyProtection="1">
      <alignment vertical="top"/>
    </xf>
    <xf numFmtId="0" fontId="15" fillId="25" borderId="2" xfId="0" applyFont="1" applyFill="1" applyBorder="1" applyAlignment="1" applyProtection="1">
      <alignment vertical="top"/>
    </xf>
    <xf numFmtId="176" fontId="36" fillId="21" borderId="1" xfId="16" applyNumberFormat="1" applyFont="1" applyFill="1" applyBorder="1" applyAlignment="1" applyProtection="1">
      <alignment vertical="top"/>
    </xf>
    <xf numFmtId="0" fontId="100" fillId="22" borderId="24" xfId="13" applyFont="1" applyFill="1" applyBorder="1" applyAlignment="1" applyProtection="1">
      <alignment horizontal="right"/>
    </xf>
    <xf numFmtId="0" fontId="100" fillId="0" borderId="12" xfId="0" applyFont="1" applyBorder="1" applyAlignment="1">
      <alignment horizontal="right"/>
    </xf>
    <xf numFmtId="0" fontId="100" fillId="0" borderId="8" xfId="0" applyFont="1" applyFill="1" applyBorder="1" applyAlignment="1">
      <alignment horizontal="right"/>
    </xf>
    <xf numFmtId="179" fontId="63" fillId="0" borderId="0" xfId="16" applyNumberFormat="1" applyFont="1" applyFill="1">
      <alignment vertical="top"/>
    </xf>
    <xf numFmtId="178" fontId="63" fillId="0" borderId="0" xfId="16" applyFont="1" applyFill="1">
      <alignment vertical="top"/>
    </xf>
    <xf numFmtId="0" fontId="68" fillId="7" borderId="0" xfId="4" applyFont="1" applyFill="1" applyAlignment="1" applyProtection="1">
      <alignment horizontal="left"/>
    </xf>
    <xf numFmtId="0" fontId="34" fillId="4" borderId="0" xfId="13" applyFont="1" applyFill="1" applyAlignment="1" applyProtection="1">
      <alignment horizontal="center" vertical="center"/>
    </xf>
    <xf numFmtId="0" fontId="14" fillId="0" borderId="2"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7" borderId="2" xfId="0" applyFont="1" applyFill="1" applyBorder="1" applyAlignment="1">
      <alignment horizontal="left" vertical="top"/>
    </xf>
    <xf numFmtId="0" fontId="14" fillId="7" borderId="8" xfId="0" applyFont="1" applyFill="1" applyBorder="1" applyAlignment="1">
      <alignment horizontal="left" vertical="top"/>
    </xf>
    <xf numFmtId="0" fontId="14" fillId="7" borderId="9" xfId="0" applyFont="1" applyFill="1" applyBorder="1" applyAlignment="1">
      <alignment horizontal="left" vertical="top"/>
    </xf>
    <xf numFmtId="0" fontId="14" fillId="0" borderId="8" xfId="13" applyFont="1" applyFill="1" applyBorder="1" applyAlignment="1">
      <alignment horizontal="center" vertical="top" wrapText="1"/>
    </xf>
    <xf numFmtId="0" fontId="14" fillId="0" borderId="9" xfId="13" applyFont="1" applyFill="1" applyBorder="1" applyAlignment="1">
      <alignment horizontal="center" vertical="top" wrapText="1"/>
    </xf>
    <xf numFmtId="0" fontId="14" fillId="0" borderId="2" xfId="13" applyFont="1" applyFill="1" applyBorder="1" applyAlignment="1">
      <alignment horizontal="center" vertical="top" wrapText="1"/>
    </xf>
    <xf numFmtId="0" fontId="15" fillId="22" borderId="1" xfId="13" applyFont="1" applyFill="1" applyBorder="1" applyAlignment="1" applyProtection="1">
      <protection locked="0"/>
    </xf>
    <xf numFmtId="0" fontId="9" fillId="0" borderId="1" xfId="0" applyFont="1" applyBorder="1" applyAlignment="1" applyProtection="1">
      <protection locked="0"/>
    </xf>
    <xf numFmtId="0" fontId="15" fillId="13" borderId="1" xfId="13" applyFont="1" applyFill="1" applyBorder="1" applyAlignment="1" applyProtection="1">
      <protection locked="0"/>
    </xf>
    <xf numFmtId="0" fontId="37" fillId="22" borderId="16" xfId="0" applyFont="1" applyFill="1" applyBorder="1" applyAlignment="1" applyProtection="1">
      <alignment wrapText="1"/>
      <protection locked="0"/>
    </xf>
    <xf numFmtId="0" fontId="4" fillId="13" borderId="17" xfId="0" applyFont="1" applyFill="1" applyBorder="1" applyAlignment="1">
      <alignment wrapText="1"/>
    </xf>
    <xf numFmtId="0" fontId="4" fillId="13" borderId="18" xfId="0" applyFont="1" applyFill="1" applyBorder="1" applyAlignment="1">
      <alignment wrapText="1"/>
    </xf>
    <xf numFmtId="165" fontId="15" fillId="21" borderId="2" xfId="0" applyNumberFormat="1" applyFont="1" applyFill="1" applyBorder="1" applyAlignment="1" applyProtection="1"/>
    <xf numFmtId="0" fontId="0" fillId="0" borderId="8" xfId="0" applyBorder="1" applyAlignment="1"/>
    <xf numFmtId="0" fontId="0" fillId="0" borderId="9" xfId="0" applyBorder="1" applyAlignment="1"/>
    <xf numFmtId="165" fontId="15" fillId="21" borderId="37" xfId="0" applyNumberFormat="1" applyFont="1" applyFill="1" applyBorder="1" applyAlignment="1" applyProtection="1"/>
    <xf numFmtId="0" fontId="0" fillId="0" borderId="38" xfId="0" applyBorder="1" applyAlignment="1"/>
    <xf numFmtId="0" fontId="0" fillId="0" borderId="39" xfId="0" applyBorder="1" applyAlignment="1"/>
    <xf numFmtId="0" fontId="15" fillId="0" borderId="0" xfId="0" applyFont="1" applyAlignment="1" applyProtection="1">
      <alignment horizontal="center"/>
    </xf>
    <xf numFmtId="49" fontId="15" fillId="21" borderId="56" xfId="0" applyNumberFormat="1" applyFont="1" applyFill="1" applyBorder="1" applyAlignment="1" applyProtection="1">
      <alignment vertical="top" wrapText="1"/>
    </xf>
    <xf numFmtId="0" fontId="0" fillId="0" borderId="58" xfId="0" applyBorder="1" applyAlignment="1">
      <alignment vertical="top" wrapText="1"/>
    </xf>
    <xf numFmtId="0" fontId="14" fillId="25" borderId="34" xfId="0" applyFont="1" applyFill="1" applyBorder="1" applyAlignment="1" applyProtection="1">
      <alignment vertical="top"/>
    </xf>
    <xf numFmtId="0" fontId="15" fillId="0" borderId="36" xfId="0" applyFont="1" applyBorder="1" applyAlignment="1" applyProtection="1">
      <alignment vertical="top"/>
    </xf>
    <xf numFmtId="0" fontId="15" fillId="0" borderId="35" xfId="0" applyFont="1" applyBorder="1" applyAlignment="1" applyProtection="1">
      <alignment vertical="top"/>
    </xf>
    <xf numFmtId="0" fontId="15" fillId="25" borderId="30" xfId="0" applyFont="1" applyFill="1" applyBorder="1" applyAlignment="1" applyProtection="1">
      <alignment vertical="top" wrapText="1"/>
    </xf>
    <xf numFmtId="0" fontId="15" fillId="5" borderId="25" xfId="0" applyFont="1" applyFill="1" applyBorder="1" applyAlignment="1" applyProtection="1">
      <alignment vertical="top" wrapText="1"/>
    </xf>
    <xf numFmtId="0" fontId="15" fillId="5" borderId="26" xfId="0" applyFont="1" applyFill="1" applyBorder="1" applyAlignment="1" applyProtection="1">
      <alignment vertical="top" wrapText="1"/>
    </xf>
    <xf numFmtId="0" fontId="15" fillId="5" borderId="3" xfId="0" applyFont="1" applyFill="1" applyBorder="1" applyAlignment="1" applyProtection="1">
      <alignment vertical="top" wrapText="1"/>
    </xf>
    <xf numFmtId="0" fontId="15" fillId="5" borderId="0" xfId="0" applyFont="1" applyFill="1" applyBorder="1" applyAlignment="1" applyProtection="1">
      <alignment vertical="top" wrapText="1"/>
    </xf>
    <xf numFmtId="0" fontId="15" fillId="5" borderId="27" xfId="0" applyFont="1" applyFill="1" applyBorder="1" applyAlignment="1" applyProtection="1">
      <alignment vertical="top" wrapText="1"/>
    </xf>
    <xf numFmtId="0" fontId="15" fillId="5" borderId="13" xfId="0" applyFont="1" applyFill="1" applyBorder="1" applyAlignment="1" applyProtection="1">
      <alignment vertical="top" wrapText="1"/>
    </xf>
    <xf numFmtId="0" fontId="15" fillId="5" borderId="28" xfId="0" applyFont="1" applyFill="1" applyBorder="1" applyAlignment="1" applyProtection="1">
      <alignment vertical="top" wrapText="1"/>
    </xf>
    <xf numFmtId="0" fontId="15" fillId="5" borderId="29" xfId="0" applyFont="1" applyFill="1" applyBorder="1" applyAlignment="1" applyProtection="1">
      <alignment vertical="top" wrapText="1"/>
    </xf>
    <xf numFmtId="165" fontId="15" fillId="21" borderId="9" xfId="13" applyNumberFormat="1" applyFont="1" applyFill="1" applyBorder="1" applyAlignment="1" applyProtection="1">
      <alignment horizontal="left" vertical="top"/>
    </xf>
    <xf numFmtId="0" fontId="0" fillId="0" borderId="1" xfId="0" applyBorder="1" applyAlignment="1" applyProtection="1">
      <alignment vertical="top"/>
    </xf>
    <xf numFmtId="165" fontId="15" fillId="21" borderId="9" xfId="0" applyNumberFormat="1" applyFont="1" applyFill="1" applyBorder="1" applyAlignment="1" applyProtection="1">
      <alignment vertical="top"/>
    </xf>
    <xf numFmtId="0" fontId="14" fillId="25" borderId="34" xfId="0" applyFont="1" applyFill="1" applyBorder="1" applyAlignment="1" applyProtection="1">
      <alignment horizontal="left" vertical="top" wrapText="1"/>
    </xf>
    <xf numFmtId="0" fontId="14" fillId="2" borderId="35" xfId="0" applyFont="1" applyFill="1" applyBorder="1" applyAlignment="1" applyProtection="1">
      <alignment horizontal="left" vertical="top" wrapText="1"/>
    </xf>
    <xf numFmtId="167" fontId="15" fillId="21" borderId="2" xfId="0" applyNumberFormat="1" applyFont="1" applyFill="1" applyBorder="1" applyAlignment="1" applyProtection="1">
      <alignment horizontal="center" vertical="top" wrapText="1"/>
    </xf>
    <xf numFmtId="167" fontId="15" fillId="9" borderId="24" xfId="0" applyNumberFormat="1" applyFont="1" applyFill="1" applyBorder="1" applyAlignment="1" applyProtection="1">
      <alignment horizontal="center" vertical="top" wrapText="1"/>
    </xf>
  </cellXfs>
  <cellStyles count="22">
    <cellStyle name="40% - Accent3" xfId="15" builtinId="39"/>
    <cellStyle name="Euro" xfId="1" xr:uid="{00000000-0005-0000-0000-000000000000}"/>
    <cellStyle name="Euro 2" xfId="2" xr:uid="{00000000-0005-0000-0000-000001000000}"/>
    <cellStyle name="Euro 3" xfId="3" xr:uid="{00000000-0005-0000-0000-000002000000}"/>
    <cellStyle name="Hyperlink" xfId="4" builtinId="8"/>
    <cellStyle name="Hyperlink 2" xfId="17" xr:uid="{D263DD57-FFA6-47FC-963C-91A989E11CFE}"/>
    <cellStyle name="Komma" xfId="5" builtinId="3"/>
    <cellStyle name="Komma 2" xfId="6" xr:uid="{00000000-0005-0000-0000-000005000000}"/>
    <cellStyle name="Komma 3" xfId="7" xr:uid="{00000000-0005-0000-0000-000006000000}"/>
    <cellStyle name="Komma 4" xfId="19" xr:uid="{2D7A5747-5774-4C99-91D2-0674C752464F}"/>
    <cellStyle name="Procent" xfId="8" builtinId="5"/>
    <cellStyle name="Procent 2" xfId="9" xr:uid="{00000000-0005-0000-0000-000008000000}"/>
    <cellStyle name="Procent 3" xfId="10" xr:uid="{00000000-0005-0000-0000-000009000000}"/>
    <cellStyle name="Procent 4" xfId="18" xr:uid="{95048695-387B-4FFA-BAEA-83469357380C}"/>
    <cellStyle name="Standaard" xfId="0" builtinId="0"/>
    <cellStyle name="Standaard 2" xfId="11" xr:uid="{00000000-0005-0000-0000-00000B000000}"/>
    <cellStyle name="Standaard 2 2" xfId="12" xr:uid="{00000000-0005-0000-0000-00000C000000}"/>
    <cellStyle name="Standaard 3" xfId="16" xr:uid="{2E54A7F1-9B26-43A2-9644-7DAE5CC109E4}"/>
    <cellStyle name="Standaard 3 2" xfId="21" xr:uid="{E609138E-A58A-45F9-AEA1-25AACFE871DD}"/>
    <cellStyle name="Standaard_TEMPLATE FEM BEGROTING DEMO" xfId="13" xr:uid="{00000000-0005-0000-0000-00000D000000}"/>
    <cellStyle name="Valuta" xfId="14" builtinId="4"/>
    <cellStyle name="Valuta 2" xfId="20" xr:uid="{78314849-7FCC-4773-8248-546951E1AAE3}"/>
  </cellStyles>
  <dxfs count="15">
    <dxf>
      <fill>
        <patternFill>
          <bgColor rgb="FF92D050"/>
        </patternFill>
      </fill>
    </dxf>
    <dxf>
      <fill>
        <patternFill>
          <bgColor rgb="FFFF0000"/>
        </patternFill>
      </fill>
    </dxf>
    <dxf>
      <fill>
        <patternFill>
          <bgColor rgb="FFFFFF99"/>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51B1E"/>
      <color rgb="FFFFFFDC"/>
      <color rgb="FFFFFFCC"/>
      <color rgb="FFF6D4B2"/>
      <color rgb="FF39870C"/>
      <color rgb="FFCCCCCC"/>
      <color rgb="FFE1EDDB"/>
      <color rgb="FFE17000"/>
      <color rgb="FFD9D9D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Kasstroomoverzicht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5.3307157928122156E-2"/>
          <c:y val="0.2213263993857931"/>
          <c:w val="0.92890065897789131"/>
          <c:h val="0.46344571396620643"/>
        </c:manualLayout>
      </c:layout>
      <c:barChart>
        <c:barDir val="col"/>
        <c:grouping val="stacked"/>
        <c:varyColors val="0"/>
        <c:ser>
          <c:idx val="0"/>
          <c:order val="0"/>
          <c:tx>
            <c:v>Kasstroom</c:v>
          </c:tx>
          <c:spPr>
            <a:solidFill>
              <a:schemeClr val="accent1"/>
            </a:solidFill>
            <a:ln>
              <a:noFill/>
            </a:ln>
            <a:effectLst/>
          </c:spPr>
          <c:invertIfNegative val="0"/>
          <c:cat>
            <c:numRef>
              <c:f>'ORT Berekening'!$M$5:$AP$5</c:f>
              <c:numCache>
                <c:formatCode>0</c:formatCode>
                <c:ptCount val="3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numCache>
            </c:numRef>
          </c:cat>
          <c:val>
            <c:numRef>
              <c:f>'ORT Berekening'!$M$140:$AP$140</c:f>
              <c:numCache>
                <c:formatCode>#,##0_);\(#,##0\);"-  ";" "@</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extLst>
            <c:ext xmlns:c16="http://schemas.microsoft.com/office/drawing/2014/chart" uri="{C3380CC4-5D6E-409C-BE32-E72D297353CC}">
              <c16:uniqueId val="{00000000-2E31-408A-860F-E8FEDDCB8B1C}"/>
            </c:ext>
          </c:extLst>
        </c:ser>
        <c:dLbls>
          <c:showLegendKey val="0"/>
          <c:showVal val="0"/>
          <c:showCatName val="0"/>
          <c:showSerName val="0"/>
          <c:showPercent val="0"/>
          <c:showBubbleSize val="0"/>
        </c:dLbls>
        <c:gapWidth val="150"/>
        <c:overlap val="100"/>
        <c:axId val="710174072"/>
        <c:axId val="710181288"/>
      </c:barChart>
      <c:lineChart>
        <c:grouping val="standard"/>
        <c:varyColors val="0"/>
        <c:ser>
          <c:idx val="1"/>
          <c:order val="1"/>
          <c:tx>
            <c:v>Cum. Kasstroom</c:v>
          </c:tx>
          <c:spPr>
            <a:ln w="28575" cap="rnd">
              <a:solidFill>
                <a:schemeClr val="accent2"/>
              </a:solidFill>
              <a:round/>
            </a:ln>
            <a:effectLst/>
          </c:spPr>
          <c:marker>
            <c:symbol val="none"/>
          </c:marker>
          <c:cat>
            <c:numRef>
              <c:f>'ORT Berekening'!$M$5:$AP$5</c:f>
              <c:numCache>
                <c:formatCode>0</c:formatCode>
                <c:ptCount val="3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numCache>
            </c:numRef>
          </c:cat>
          <c:val>
            <c:numRef>
              <c:f>'ORT Berekening'!$M$141:$AP$141</c:f>
              <c:numCache>
                <c:formatCode>#,##0_);\(#,##0\);"-  ";" "@</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mooth val="0"/>
          <c:extLst>
            <c:ext xmlns:c16="http://schemas.microsoft.com/office/drawing/2014/chart" uri="{C3380CC4-5D6E-409C-BE32-E72D297353CC}">
              <c16:uniqueId val="{00000001-2E31-408A-860F-E8FEDDCB8B1C}"/>
            </c:ext>
          </c:extLst>
        </c:ser>
        <c:dLbls>
          <c:showLegendKey val="0"/>
          <c:showVal val="0"/>
          <c:showCatName val="0"/>
          <c:showSerName val="0"/>
          <c:showPercent val="0"/>
          <c:showBubbleSize val="0"/>
        </c:dLbls>
        <c:marker val="1"/>
        <c:smooth val="0"/>
        <c:axId val="710174072"/>
        <c:axId val="710181288"/>
      </c:lineChart>
      <c:catAx>
        <c:axId val="710174072"/>
        <c:scaling>
          <c:orientation val="minMax"/>
        </c:scaling>
        <c:delete val="0"/>
        <c:axPos val="b"/>
        <c:numFmt formatCode="0" sourceLinked="0"/>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710181288"/>
        <c:crosses val="autoZero"/>
        <c:auto val="1"/>
        <c:lblAlgn val="ctr"/>
        <c:lblOffset val="100"/>
        <c:noMultiLvlLbl val="0"/>
      </c:catAx>
      <c:valAx>
        <c:axId val="7101812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10174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nl-NL" b="1"/>
              <a:t>Aantal aangesloten</a:t>
            </a:r>
            <a:r>
              <a:rPr lang="nl-NL" b="1" baseline="0"/>
              <a:t> woningen </a:t>
            </a:r>
            <a:endParaRPr lang="nl-NL"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areaChart>
        <c:grouping val="stacked"/>
        <c:varyColors val="0"/>
        <c:ser>
          <c:idx val="0"/>
          <c:order val="0"/>
          <c:tx>
            <c:strRef>
              <c:f>'ORT Berekening'!$E$89</c:f>
              <c:strCache>
                <c:ptCount val="1"/>
                <c:pt idx="0">
                  <c:v> Aantal aansluitingen grondgebonden (cumulatief)</c:v>
                </c:pt>
              </c:strCache>
            </c:strRef>
          </c:tx>
          <c:spPr>
            <a:solidFill>
              <a:schemeClr val="accent1"/>
            </a:solidFill>
            <a:ln w="25400">
              <a:noFill/>
            </a:ln>
            <a:effectLst/>
          </c:spPr>
          <c:cat>
            <c:numRef>
              <c:f>'ORT Berekening'!$M$5:$AP$5</c:f>
              <c:numCache>
                <c:formatCode>0</c:formatCode>
                <c:ptCount val="3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numCache>
            </c:numRef>
          </c:cat>
          <c:val>
            <c:numRef>
              <c:f>'ORT Berekening'!$M$89:$AP$89</c:f>
              <c:numCache>
                <c:formatCode>#,##0_);\(#,##0\);"-  ";"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47B7-4914-AF7D-038F834C3E42}"/>
            </c:ext>
          </c:extLst>
        </c:ser>
        <c:ser>
          <c:idx val="1"/>
          <c:order val="1"/>
          <c:tx>
            <c:strRef>
              <c:f>'ORT Berekening'!$E$99</c:f>
              <c:strCache>
                <c:ptCount val="1"/>
                <c:pt idx="0">
                  <c:v> Aantal aansluitingen gestapeld (cumulatief)</c:v>
                </c:pt>
              </c:strCache>
            </c:strRef>
          </c:tx>
          <c:spPr>
            <a:solidFill>
              <a:schemeClr val="accent2"/>
            </a:solidFill>
            <a:ln w="25400">
              <a:noFill/>
            </a:ln>
            <a:effectLst/>
          </c:spPr>
          <c:cat>
            <c:numRef>
              <c:f>'ORT Berekening'!$M$5:$AP$5</c:f>
              <c:numCache>
                <c:formatCode>0</c:formatCode>
                <c:ptCount val="3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numCache>
            </c:numRef>
          </c:cat>
          <c:val>
            <c:numRef>
              <c:f>'ORT Berekening'!$M$99:$AP$99</c:f>
              <c:numCache>
                <c:formatCode>#,##0_);\(#,##0\);"-  ";"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7B7-4914-AF7D-038F834C3E42}"/>
            </c:ext>
          </c:extLst>
        </c:ser>
        <c:dLbls>
          <c:showLegendKey val="0"/>
          <c:showVal val="0"/>
          <c:showCatName val="0"/>
          <c:showSerName val="0"/>
          <c:showPercent val="0"/>
          <c:showBubbleSize val="0"/>
        </c:dLbls>
        <c:axId val="967634664"/>
        <c:axId val="967634992"/>
      </c:areaChart>
      <c:catAx>
        <c:axId val="967634664"/>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7634992"/>
        <c:crosses val="autoZero"/>
        <c:auto val="1"/>
        <c:lblAlgn val="ctr"/>
        <c:lblOffset val="100"/>
        <c:noMultiLvlLbl val="0"/>
      </c:catAx>
      <c:valAx>
        <c:axId val="9676349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Aantal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_);\(#,##0\);&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76346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165</xdr:colOff>
      <xdr:row>0</xdr:row>
      <xdr:rowOff>19051</xdr:rowOff>
    </xdr:from>
    <xdr:to>
      <xdr:col>16</xdr:col>
      <xdr:colOff>47708</xdr:colOff>
      <xdr:row>8</xdr:row>
      <xdr:rowOff>122860</xdr:rowOff>
    </xdr:to>
    <xdr:pic>
      <xdr:nvPicPr>
        <xdr:cNvPr id="355493" name="Afbeelding 2">
          <a:extLst>
            <a:ext uri="{FF2B5EF4-FFF2-40B4-BE49-F238E27FC236}">
              <a16:creationId xmlns:a16="http://schemas.microsoft.com/office/drawing/2014/main" id="{4EF6716F-E4CE-04C9-33D0-231B2CEFBC6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0562" y="19051"/>
          <a:ext cx="5438527" cy="1399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40</xdr:row>
      <xdr:rowOff>85725</xdr:rowOff>
    </xdr:from>
    <xdr:to>
      <xdr:col>3</xdr:col>
      <xdr:colOff>266700</xdr:colOff>
      <xdr:row>43</xdr:row>
      <xdr:rowOff>135731</xdr:rowOff>
    </xdr:to>
    <xdr:pic>
      <xdr:nvPicPr>
        <xdr:cNvPr id="4" name="Afbeelding 3" descr="Uitleg berekening">
          <a:extLst>
            <a:ext uri="{FF2B5EF4-FFF2-40B4-BE49-F238E27FC236}">
              <a16:creationId xmlns:a16="http://schemas.microsoft.com/office/drawing/2014/main" id="{4FE6BC8E-6F69-6B63-936E-64721C99C686}"/>
            </a:ext>
          </a:extLst>
        </xdr:cNvPr>
        <xdr:cNvPicPr>
          <a:picLocks noChangeAspect="1"/>
        </xdr:cNvPicPr>
      </xdr:nvPicPr>
      <xdr:blipFill>
        <a:blip xmlns:r="http://schemas.openxmlformats.org/officeDocument/2006/relationships" r:embed="rId2"/>
        <a:stretch>
          <a:fillRect/>
        </a:stretch>
      </xdr:blipFill>
      <xdr:spPr>
        <a:xfrm>
          <a:off x="304800" y="5267325"/>
          <a:ext cx="1685925" cy="478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647700</xdr:colOff>
      <xdr:row>0</xdr:row>
      <xdr:rowOff>0</xdr:rowOff>
    </xdr:from>
    <xdr:to>
      <xdr:col>18</xdr:col>
      <xdr:colOff>196850</xdr:colOff>
      <xdr:row>8</xdr:row>
      <xdr:rowOff>133350</xdr:rowOff>
    </xdr:to>
    <xdr:pic>
      <xdr:nvPicPr>
        <xdr:cNvPr id="356517" name="Afbeelding 2" descr="Rijkslogo Rijksdienst voor Ondernemend Nederland">
          <a:extLst>
            <a:ext uri="{FF2B5EF4-FFF2-40B4-BE49-F238E27FC236}">
              <a16:creationId xmlns:a16="http://schemas.microsoft.com/office/drawing/2014/main" id="{B0C95216-CCA9-F1D3-9642-07A8A9F072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0"/>
          <a:ext cx="52863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68355</xdr:colOff>
      <xdr:row>2</xdr:row>
      <xdr:rowOff>166407</xdr:rowOff>
    </xdr:from>
    <xdr:to>
      <xdr:col>6</xdr:col>
      <xdr:colOff>560293</xdr:colOff>
      <xdr:row>19</xdr:row>
      <xdr:rowOff>99171</xdr:rowOff>
    </xdr:to>
    <xdr:graphicFrame macro="">
      <xdr:nvGraphicFramePr>
        <xdr:cNvPr id="2" name="Chart 7" descr="Grafiek">
          <a:extLst>
            <a:ext uri="{FF2B5EF4-FFF2-40B4-BE49-F238E27FC236}">
              <a16:creationId xmlns:a16="http://schemas.microsoft.com/office/drawing/2014/main" id="{2CC792FE-F0D6-43D1-A0F0-8FE994484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819150</xdr:colOff>
      <xdr:row>2</xdr:row>
      <xdr:rowOff>155201</xdr:rowOff>
    </xdr:from>
    <xdr:to>
      <xdr:col>12</xdr:col>
      <xdr:colOff>739586</xdr:colOff>
      <xdr:row>19</xdr:row>
      <xdr:rowOff>132789</xdr:rowOff>
    </xdr:to>
    <xdr:graphicFrame macro="">
      <xdr:nvGraphicFramePr>
        <xdr:cNvPr id="3" name="Grafiek 2" descr="Grafiek">
          <a:extLst>
            <a:ext uri="{FF2B5EF4-FFF2-40B4-BE49-F238E27FC236}">
              <a16:creationId xmlns:a16="http://schemas.microsoft.com/office/drawing/2014/main" id="{AC22DCFE-13D3-445E-BD1D-B98EB4DAC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24</xdr:row>
      <xdr:rowOff>133350</xdr:rowOff>
    </xdr:from>
    <xdr:to>
      <xdr:col>1</xdr:col>
      <xdr:colOff>1019175</xdr:colOff>
      <xdr:row>35</xdr:row>
      <xdr:rowOff>152926</xdr:rowOff>
    </xdr:to>
    <xdr:pic>
      <xdr:nvPicPr>
        <xdr:cNvPr id="369755" name="Afbeelding 2">
          <a:extLst>
            <a:ext uri="{FF2B5EF4-FFF2-40B4-BE49-F238E27FC236}">
              <a16:creationId xmlns:a16="http://schemas.microsoft.com/office/drawing/2014/main" id="{DDB859E6-07DB-DDF8-8F2D-3861A44C9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4019550"/>
          <a:ext cx="3057525" cy="1800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rvo.nl/onderwerpen/subsidiespelregels/ezk/financiering" TargetMode="External"/><Relationship Id="rId7" Type="http://schemas.openxmlformats.org/officeDocument/2006/relationships/printerSettings" Target="../printerSettings/printerSettings1.bin"/><Relationship Id="rId2" Type="http://schemas.openxmlformats.org/officeDocument/2006/relationships/hyperlink" Target="https://wetten.overheid.nl/BWBR0024796/2021-03-09" TargetMode="External"/><Relationship Id="rId1" Type="http://schemas.openxmlformats.org/officeDocument/2006/relationships/hyperlink" Target="https://www.rvo.nl/sites/default/files/2015/12/AGVV%20%28Algemene%20Groepsvrijstellingsverordening%29.pdf" TargetMode="External"/><Relationship Id="rId6" Type="http://schemas.openxmlformats.org/officeDocument/2006/relationships/hyperlink" Target="https://wetten.overheid.nl/jci1.3:c:BWBR0035474&amp;z=2021-12-08&amp;g=2019-10-26" TargetMode="External"/><Relationship Id="rId5" Type="http://schemas.openxmlformats.org/officeDocument/2006/relationships/hyperlink" Target="https://wetten.overheid.nl/jci1.3:c:BWBR0007919&amp;z=2019-01-01&amp;g=2019-01-01" TargetMode="External"/><Relationship Id="rId4" Type="http://schemas.openxmlformats.org/officeDocument/2006/relationships/hyperlink" Target="http://www.rvo.nl/wi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vo.nl/subsidies-regelingen/subsidiespelregels/subsidiespelregels-ministerie/ministerie-van-economische-zaken-en-klima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08">
    <tabColor rgb="FF00B0F0"/>
    <pageSetUpPr fitToPage="1"/>
  </sheetPr>
  <dimension ref="A1:AK127"/>
  <sheetViews>
    <sheetView showGridLines="0" tabSelected="1" zoomScaleNormal="100" zoomScaleSheetLayoutView="100" workbookViewId="0">
      <selection activeCell="A8" sqref="A8"/>
    </sheetView>
  </sheetViews>
  <sheetFormatPr defaultColWidth="9.28515625" defaultRowHeight="11.25" x14ac:dyDescent="0.2"/>
  <cols>
    <col min="1" max="1" width="7.5703125" style="113" customWidth="1"/>
    <col min="2" max="2" width="9.28515625" style="113" customWidth="1"/>
    <col min="3" max="5" width="9.28515625" style="113"/>
    <col min="6" max="6" width="9.28515625" style="113" customWidth="1"/>
    <col min="7" max="15" width="9.28515625" style="113"/>
    <col min="16" max="16" width="10.7109375" style="113" customWidth="1"/>
    <col min="17" max="20" width="9.28515625" style="113"/>
    <col min="21" max="37" width="9.28515625" style="114"/>
    <col min="38" max="16384" width="9.28515625" style="113"/>
  </cols>
  <sheetData>
    <row r="1" spans="1:37" x14ac:dyDescent="0.2">
      <c r="A1" s="57"/>
      <c r="B1" s="57"/>
      <c r="C1" s="57"/>
      <c r="D1" s="57"/>
      <c r="E1" s="22"/>
      <c r="F1" s="22"/>
      <c r="G1" s="22"/>
      <c r="H1" s="22"/>
      <c r="I1" s="22"/>
      <c r="J1" s="22"/>
      <c r="K1" s="22"/>
      <c r="L1" s="22"/>
      <c r="M1" s="22"/>
      <c r="N1" s="22"/>
      <c r="O1" s="22"/>
      <c r="P1" s="22"/>
    </row>
    <row r="2" spans="1:37" x14ac:dyDescent="0.2">
      <c r="A2" s="22"/>
      <c r="B2" s="22"/>
      <c r="C2" s="57"/>
      <c r="D2" s="22"/>
      <c r="E2" s="22"/>
      <c r="F2" s="22"/>
      <c r="G2" s="22"/>
      <c r="H2" s="22"/>
      <c r="I2" s="22"/>
      <c r="J2" s="22"/>
      <c r="K2" s="22"/>
      <c r="L2" s="22"/>
      <c r="M2" s="22"/>
      <c r="N2" s="22"/>
      <c r="O2" s="22"/>
      <c r="P2" s="22"/>
    </row>
    <row r="3" spans="1:37" x14ac:dyDescent="0.2">
      <c r="A3" s="57" t="s">
        <v>609</v>
      </c>
      <c r="B3" s="22"/>
      <c r="C3" s="57"/>
      <c r="D3" s="22"/>
      <c r="E3" s="22"/>
      <c r="F3" s="22"/>
      <c r="G3" s="22"/>
      <c r="H3" s="22"/>
      <c r="I3" s="57"/>
      <c r="J3" s="57"/>
      <c r="K3" s="22"/>
      <c r="L3" s="22"/>
      <c r="M3" s="22"/>
      <c r="N3" s="22"/>
      <c r="O3" s="22"/>
      <c r="P3" s="22"/>
    </row>
    <row r="4" spans="1:37" ht="18" x14ac:dyDescent="0.2">
      <c r="A4" s="272" t="s">
        <v>484</v>
      </c>
      <c r="B4" s="149"/>
      <c r="C4" s="149"/>
      <c r="D4" s="22"/>
      <c r="E4" s="22"/>
      <c r="F4" s="22"/>
      <c r="G4" s="22"/>
      <c r="H4" s="22"/>
      <c r="I4" s="57"/>
      <c r="J4" s="57"/>
      <c r="K4" s="22"/>
      <c r="L4" s="22"/>
      <c r="M4" s="22"/>
      <c r="N4" s="22"/>
      <c r="O4" s="22"/>
      <c r="P4" s="22"/>
    </row>
    <row r="5" spans="1:37" ht="20.25" x14ac:dyDescent="0.2">
      <c r="A5" s="305" t="s">
        <v>530</v>
      </c>
      <c r="B5" s="250"/>
      <c r="C5" s="250"/>
      <c r="D5" s="147"/>
      <c r="E5" s="147"/>
      <c r="F5" s="22"/>
      <c r="G5" s="22"/>
      <c r="H5" s="22"/>
      <c r="I5" s="57"/>
      <c r="J5" s="57"/>
      <c r="K5" s="22"/>
      <c r="L5" s="22"/>
      <c r="M5" s="22"/>
      <c r="N5" s="22"/>
      <c r="O5" s="22"/>
      <c r="P5" s="22"/>
    </row>
    <row r="6" spans="1:37" s="29" customFormat="1" ht="10.5" customHeight="1" x14ac:dyDescent="0.15">
      <c r="A6" s="678" t="s">
        <v>610</v>
      </c>
      <c r="B6" s="678"/>
      <c r="C6" s="678"/>
      <c r="D6" s="678"/>
      <c r="E6" s="678"/>
      <c r="F6" s="678"/>
      <c r="G6" s="678"/>
      <c r="H6" s="678"/>
    </row>
    <row r="7" spans="1:37" x14ac:dyDescent="0.2">
      <c r="A7" s="924" t="s">
        <v>611</v>
      </c>
      <c r="B7" s="22"/>
      <c r="C7" s="22"/>
      <c r="D7" s="22"/>
      <c r="E7" s="22"/>
      <c r="F7" s="22"/>
      <c r="G7" s="22"/>
      <c r="H7" s="22"/>
      <c r="I7" s="22"/>
      <c r="J7" s="22"/>
      <c r="K7" s="22"/>
      <c r="L7" s="22"/>
      <c r="M7" s="22"/>
      <c r="N7" s="22"/>
      <c r="O7" s="22"/>
      <c r="P7" s="22"/>
    </row>
    <row r="8" spans="1:37" x14ac:dyDescent="0.2">
      <c r="A8" s="22"/>
      <c r="B8" s="22"/>
      <c r="C8" s="22"/>
      <c r="D8" s="22"/>
      <c r="E8" s="22"/>
      <c r="F8" s="22"/>
      <c r="G8" s="22"/>
      <c r="H8" s="22"/>
      <c r="I8" s="22"/>
      <c r="J8" s="22"/>
      <c r="K8" s="22"/>
      <c r="L8" s="22"/>
      <c r="M8" s="22"/>
      <c r="N8" s="22"/>
      <c r="O8" s="22"/>
      <c r="P8" s="22"/>
    </row>
    <row r="9" spans="1:37" s="153" customFormat="1" ht="14.25" x14ac:dyDescent="0.2">
      <c r="A9" s="150" t="s">
        <v>51</v>
      </c>
      <c r="B9" s="151"/>
      <c r="C9" s="152"/>
      <c r="D9" s="152"/>
      <c r="E9" s="151"/>
      <c r="F9" s="151"/>
      <c r="G9" s="151"/>
      <c r="H9" s="151"/>
      <c r="I9" s="151"/>
      <c r="J9" s="151"/>
      <c r="K9" s="151"/>
      <c r="L9" s="151"/>
      <c r="M9" s="151"/>
      <c r="N9" s="151"/>
      <c r="O9" s="151"/>
      <c r="P9" s="151"/>
      <c r="U9" s="154"/>
      <c r="V9" s="154"/>
      <c r="W9" s="154"/>
      <c r="X9" s="154"/>
      <c r="Y9" s="154"/>
      <c r="Z9" s="154"/>
      <c r="AA9" s="154"/>
      <c r="AB9" s="154"/>
      <c r="AC9" s="154"/>
      <c r="AD9" s="154"/>
      <c r="AE9" s="154"/>
      <c r="AF9" s="154"/>
      <c r="AG9" s="154"/>
      <c r="AH9" s="154"/>
      <c r="AI9" s="154"/>
      <c r="AJ9" s="154"/>
      <c r="AK9" s="154"/>
    </row>
    <row r="10" spans="1:37" s="116" customFormat="1" ht="11.65" customHeight="1" x14ac:dyDescent="0.2">
      <c r="A10" s="120" t="s">
        <v>429</v>
      </c>
      <c r="B10" s="121"/>
      <c r="C10" s="121"/>
      <c r="D10" s="121"/>
      <c r="E10" s="121"/>
      <c r="F10" s="121"/>
      <c r="G10" s="121"/>
      <c r="H10" s="121"/>
      <c r="I10" s="121"/>
      <c r="J10" s="121"/>
      <c r="K10" s="121"/>
      <c r="L10" s="121"/>
      <c r="M10" s="121"/>
      <c r="N10" s="121"/>
      <c r="O10" s="121"/>
      <c r="P10" s="121"/>
    </row>
    <row r="11" spans="1:37" s="116" customFormat="1" ht="11.65" customHeight="1" x14ac:dyDescent="0.2">
      <c r="A11" s="116" t="s">
        <v>83</v>
      </c>
    </row>
    <row r="12" spans="1:37" s="116" customFormat="1" ht="11.65" customHeight="1" x14ac:dyDescent="0.2">
      <c r="A12" s="116" t="s">
        <v>82</v>
      </c>
    </row>
    <row r="13" spans="1:37" s="116" customFormat="1" ht="11.65" customHeight="1" x14ac:dyDescent="0.2">
      <c r="A13" s="115" t="s">
        <v>172</v>
      </c>
    </row>
    <row r="14" spans="1:37" s="116" customFormat="1" ht="11.65" customHeight="1" x14ac:dyDescent="0.2">
      <c r="A14" s="115"/>
    </row>
    <row r="15" spans="1:37" s="116" customFormat="1" ht="11.65" customHeight="1" x14ac:dyDescent="0.2">
      <c r="A15" s="602" t="s">
        <v>447</v>
      </c>
    </row>
    <row r="16" spans="1:37" s="116" customFormat="1" ht="11.65" customHeight="1" x14ac:dyDescent="0.2">
      <c r="A16" s="115" t="s">
        <v>461</v>
      </c>
    </row>
    <row r="17" spans="1:37" s="116" customFormat="1" ht="11.65" customHeight="1" x14ac:dyDescent="0.2">
      <c r="A17" s="115" t="s">
        <v>462</v>
      </c>
    </row>
    <row r="18" spans="1:37" s="116" customFormat="1" ht="11.65" customHeight="1" x14ac:dyDescent="0.2">
      <c r="A18" s="115" t="s">
        <v>463</v>
      </c>
    </row>
    <row r="19" spans="1:37" s="116" customFormat="1" ht="11.65" customHeight="1" thickBot="1" x14ac:dyDescent="0.25">
      <c r="A19" s="115"/>
    </row>
    <row r="20" spans="1:37" s="153" customFormat="1" ht="15" thickBot="1" x14ac:dyDescent="0.25">
      <c r="A20" s="155" t="s">
        <v>52</v>
      </c>
      <c r="B20" s="156"/>
      <c r="C20" s="157"/>
      <c r="D20" s="157"/>
      <c r="E20" s="156"/>
      <c r="F20" s="156"/>
      <c r="G20" s="156"/>
      <c r="H20" s="156"/>
      <c r="I20" s="156"/>
      <c r="J20" s="156"/>
      <c r="K20" s="156"/>
      <c r="L20" s="156"/>
      <c r="M20" s="156"/>
      <c r="N20" s="156"/>
      <c r="O20" s="156"/>
      <c r="P20" s="158"/>
      <c r="U20" s="154"/>
      <c r="V20" s="154"/>
      <c r="W20" s="154"/>
      <c r="X20" s="154"/>
      <c r="Y20" s="154"/>
      <c r="Z20" s="154"/>
      <c r="AA20" s="154"/>
      <c r="AB20" s="154"/>
      <c r="AC20" s="154"/>
      <c r="AD20" s="154"/>
      <c r="AE20" s="154"/>
      <c r="AF20" s="154"/>
      <c r="AG20" s="154"/>
      <c r="AH20" s="154"/>
      <c r="AI20" s="154"/>
      <c r="AJ20" s="154"/>
      <c r="AK20" s="154"/>
    </row>
    <row r="21" spans="1:37" ht="11.65" customHeight="1" x14ac:dyDescent="0.2">
      <c r="A21" s="117" t="s">
        <v>534</v>
      </c>
      <c r="B21" s="22"/>
      <c r="C21" s="22"/>
      <c r="D21" s="57"/>
      <c r="E21" s="22"/>
      <c r="F21" s="22"/>
      <c r="G21" s="22"/>
      <c r="H21" s="22"/>
      <c r="I21" s="22"/>
      <c r="J21" s="22"/>
      <c r="K21" s="22"/>
      <c r="L21" s="22"/>
      <c r="M21" s="22"/>
      <c r="N21" s="22"/>
      <c r="O21" s="22"/>
      <c r="P21" s="22"/>
      <c r="U21" s="113"/>
      <c r="V21" s="113"/>
      <c r="W21" s="113"/>
      <c r="X21" s="113"/>
      <c r="Y21" s="113"/>
      <c r="Z21" s="113"/>
      <c r="AA21" s="113"/>
      <c r="AB21" s="113"/>
      <c r="AC21" s="113"/>
      <c r="AD21" s="113"/>
      <c r="AE21" s="113"/>
      <c r="AF21" s="113"/>
      <c r="AG21" s="113"/>
      <c r="AH21" s="113"/>
      <c r="AI21" s="113"/>
      <c r="AJ21" s="113"/>
      <c r="AK21" s="113"/>
    </row>
    <row r="22" spans="1:37" ht="11.65" customHeight="1" x14ac:dyDescent="0.2">
      <c r="A22" s="117"/>
      <c r="B22" s="22"/>
      <c r="C22" s="22"/>
      <c r="D22" s="57"/>
      <c r="E22" s="22"/>
      <c r="F22" s="22"/>
      <c r="G22" s="22"/>
      <c r="H22" s="22"/>
      <c r="I22" s="22"/>
      <c r="J22" s="22"/>
      <c r="K22" s="22"/>
      <c r="L22" s="22"/>
      <c r="M22" s="22"/>
      <c r="N22" s="22"/>
      <c r="O22" s="22"/>
      <c r="P22" s="22"/>
      <c r="U22" s="113"/>
      <c r="V22" s="113"/>
      <c r="W22" s="113"/>
      <c r="X22" s="113"/>
      <c r="Y22" s="113"/>
      <c r="Z22" s="113"/>
      <c r="AA22" s="113"/>
      <c r="AB22" s="113"/>
      <c r="AC22" s="113"/>
      <c r="AD22" s="113"/>
      <c r="AE22" s="113"/>
      <c r="AF22" s="113"/>
      <c r="AG22" s="113"/>
      <c r="AH22" s="113"/>
      <c r="AI22" s="113"/>
      <c r="AJ22" s="113"/>
      <c r="AK22" s="113"/>
    </row>
    <row r="23" spans="1:37" ht="11.65" customHeight="1" x14ac:dyDescent="0.2">
      <c r="A23" s="117" t="s">
        <v>106</v>
      </c>
      <c r="B23" s="22"/>
      <c r="C23" s="22"/>
      <c r="D23" s="57"/>
      <c r="E23" s="22"/>
      <c r="F23" s="22"/>
      <c r="G23" s="22"/>
      <c r="H23" s="22"/>
      <c r="I23" s="22"/>
      <c r="J23" s="22"/>
      <c r="K23" s="22"/>
      <c r="L23" s="22"/>
      <c r="M23" s="22"/>
      <c r="N23" s="22"/>
      <c r="O23" s="22"/>
      <c r="P23" s="22"/>
      <c r="U23" s="113"/>
      <c r="V23" s="113"/>
      <c r="W23" s="113"/>
      <c r="X23" s="113"/>
      <c r="Y23" s="113"/>
      <c r="Z23" s="113"/>
      <c r="AA23" s="113"/>
      <c r="AB23" s="113"/>
      <c r="AC23" s="113"/>
      <c r="AD23" s="113"/>
      <c r="AE23" s="113"/>
      <c r="AF23" s="113"/>
      <c r="AG23" s="113"/>
      <c r="AH23" s="113"/>
      <c r="AI23" s="113"/>
      <c r="AJ23" s="113"/>
      <c r="AK23" s="113"/>
    </row>
    <row r="24" spans="1:37" ht="11.65" customHeight="1" x14ac:dyDescent="0.2">
      <c r="A24" s="42" t="s">
        <v>465</v>
      </c>
      <c r="B24" s="22"/>
      <c r="C24" s="22"/>
      <c r="D24" s="57"/>
      <c r="E24" s="22"/>
      <c r="F24" s="22"/>
      <c r="G24" s="22"/>
      <c r="H24" s="22"/>
      <c r="I24" s="22"/>
      <c r="J24" s="22"/>
      <c r="K24" s="22"/>
      <c r="L24" s="22"/>
      <c r="M24" s="22"/>
      <c r="N24" s="22"/>
      <c r="O24" s="22"/>
      <c r="P24" s="22"/>
      <c r="U24" s="113"/>
      <c r="V24" s="113"/>
      <c r="W24" s="113"/>
      <c r="X24" s="113"/>
      <c r="Y24" s="113"/>
      <c r="Z24" s="113"/>
      <c r="AA24" s="113"/>
      <c r="AB24" s="113"/>
      <c r="AC24" s="113"/>
      <c r="AD24" s="113"/>
      <c r="AE24" s="113"/>
      <c r="AF24" s="113"/>
      <c r="AG24" s="113"/>
      <c r="AH24" s="113"/>
      <c r="AI24" s="113"/>
      <c r="AJ24" s="113"/>
      <c r="AK24" s="113"/>
    </row>
    <row r="25" spans="1:37" ht="11.65" customHeight="1" x14ac:dyDescent="0.2">
      <c r="A25" s="42" t="s">
        <v>466</v>
      </c>
      <c r="B25" s="22"/>
      <c r="C25" s="22"/>
      <c r="D25" s="57"/>
      <c r="E25" s="22"/>
      <c r="F25" s="22"/>
      <c r="G25" s="22"/>
      <c r="H25" s="22"/>
      <c r="I25" s="22"/>
      <c r="J25" s="22"/>
      <c r="K25" s="22"/>
      <c r="L25" s="22"/>
      <c r="M25" s="22"/>
      <c r="N25" s="22"/>
      <c r="O25" s="22"/>
      <c r="P25" s="22"/>
      <c r="U25" s="113"/>
      <c r="V25" s="113"/>
      <c r="W25" s="113"/>
      <c r="X25" s="113"/>
      <c r="Y25" s="113"/>
      <c r="Z25" s="113"/>
      <c r="AA25" s="113"/>
      <c r="AB25" s="113"/>
      <c r="AC25" s="113"/>
      <c r="AD25" s="113"/>
      <c r="AE25" s="113"/>
      <c r="AF25" s="113"/>
      <c r="AG25" s="113"/>
      <c r="AH25" s="113"/>
      <c r="AI25" s="113"/>
      <c r="AJ25" s="113"/>
      <c r="AK25" s="113"/>
    </row>
    <row r="26" spans="1:37" ht="11.65" customHeight="1" x14ac:dyDescent="0.2">
      <c r="A26" s="117" t="s">
        <v>448</v>
      </c>
      <c r="B26" s="22"/>
      <c r="C26" s="22"/>
      <c r="D26" s="57"/>
      <c r="E26" s="22"/>
      <c r="F26" s="22"/>
      <c r="G26" s="22"/>
      <c r="H26" s="22"/>
      <c r="I26" s="22"/>
      <c r="J26" s="22"/>
      <c r="K26" s="22"/>
      <c r="L26" s="22"/>
      <c r="M26" s="22"/>
      <c r="N26" s="22"/>
      <c r="O26" s="22"/>
      <c r="P26" s="22"/>
      <c r="U26" s="113"/>
      <c r="V26" s="113"/>
      <c r="W26" s="113"/>
      <c r="X26" s="113"/>
      <c r="Y26" s="113"/>
      <c r="Z26" s="113"/>
      <c r="AA26" s="113"/>
      <c r="AB26" s="113"/>
      <c r="AC26" s="113"/>
      <c r="AD26" s="113"/>
      <c r="AE26" s="113"/>
      <c r="AF26" s="113"/>
      <c r="AG26" s="113"/>
      <c r="AH26" s="113"/>
      <c r="AI26" s="113"/>
      <c r="AJ26" s="113"/>
      <c r="AK26" s="113"/>
    </row>
    <row r="27" spans="1:37" ht="11.65" customHeight="1" x14ac:dyDescent="0.2">
      <c r="A27" s="616" t="s">
        <v>537</v>
      </c>
      <c r="B27" s="22"/>
      <c r="C27" s="22"/>
      <c r="D27" s="57"/>
      <c r="E27" s="22"/>
      <c r="F27" s="22"/>
      <c r="G27" s="22"/>
      <c r="H27" s="22"/>
      <c r="I27" s="22"/>
      <c r="J27" s="22"/>
      <c r="K27" s="22"/>
      <c r="L27" s="22"/>
      <c r="M27" s="22"/>
      <c r="N27" s="22"/>
      <c r="O27" s="22"/>
      <c r="P27" s="22"/>
      <c r="U27" s="113"/>
      <c r="V27" s="113"/>
      <c r="W27" s="113"/>
      <c r="X27" s="113"/>
      <c r="Y27" s="113"/>
      <c r="Z27" s="113"/>
      <c r="AA27" s="113"/>
      <c r="AB27" s="113"/>
      <c r="AC27" s="113"/>
      <c r="AD27" s="113"/>
      <c r="AE27" s="113"/>
      <c r="AF27" s="113"/>
      <c r="AG27" s="113"/>
      <c r="AH27" s="113"/>
      <c r="AI27" s="113"/>
      <c r="AJ27" s="113"/>
      <c r="AK27" s="113"/>
    </row>
    <row r="28" spans="1:37" ht="11.65" customHeight="1" x14ac:dyDescent="0.2">
      <c r="A28" s="42" t="s">
        <v>467</v>
      </c>
      <c r="B28" s="22"/>
      <c r="C28" s="22"/>
      <c r="D28" s="57"/>
      <c r="E28" s="22"/>
      <c r="F28" s="22"/>
      <c r="G28" s="22"/>
      <c r="H28" s="22"/>
      <c r="I28" s="22"/>
      <c r="J28" s="22"/>
      <c r="K28" s="22"/>
      <c r="L28" s="22"/>
      <c r="M28" s="22"/>
      <c r="N28" s="22"/>
      <c r="O28" s="22"/>
      <c r="P28" s="22"/>
      <c r="U28" s="113"/>
      <c r="V28" s="113"/>
      <c r="W28" s="113"/>
      <c r="X28" s="113"/>
      <c r="Y28" s="113"/>
      <c r="Z28" s="113"/>
      <c r="AA28" s="113"/>
      <c r="AB28" s="113"/>
      <c r="AC28" s="113"/>
      <c r="AD28" s="113"/>
      <c r="AE28" s="113"/>
      <c r="AF28" s="113"/>
      <c r="AG28" s="113"/>
      <c r="AH28" s="113"/>
      <c r="AI28" s="113"/>
      <c r="AJ28" s="113"/>
      <c r="AK28" s="113"/>
    </row>
    <row r="29" spans="1:37" ht="11.65" customHeight="1" x14ac:dyDescent="0.2">
      <c r="A29" s="616" t="s">
        <v>464</v>
      </c>
      <c r="B29" s="22"/>
      <c r="C29" s="22"/>
      <c r="D29" s="57"/>
      <c r="E29" s="22"/>
      <c r="F29" s="22"/>
      <c r="G29" s="22"/>
      <c r="H29" s="22"/>
      <c r="I29" s="22"/>
      <c r="J29" s="22"/>
      <c r="K29" s="22"/>
      <c r="L29" s="22"/>
      <c r="M29" s="22"/>
      <c r="N29" s="22"/>
      <c r="O29" s="22"/>
      <c r="P29" s="22"/>
      <c r="U29" s="113"/>
      <c r="V29" s="113"/>
      <c r="W29" s="113"/>
      <c r="X29" s="113"/>
      <c r="Y29" s="113"/>
      <c r="Z29" s="113"/>
      <c r="AA29" s="113"/>
      <c r="AB29" s="113"/>
      <c r="AC29" s="113"/>
      <c r="AD29" s="113"/>
      <c r="AE29" s="113"/>
      <c r="AF29" s="113"/>
      <c r="AG29" s="113"/>
      <c r="AH29" s="113"/>
      <c r="AI29" s="113"/>
      <c r="AJ29" s="113"/>
      <c r="AK29" s="113"/>
    </row>
    <row r="30" spans="1:37" ht="11.65" customHeight="1" x14ac:dyDescent="0.2">
      <c r="A30" s="117" t="s">
        <v>459</v>
      </c>
      <c r="B30" s="22"/>
      <c r="C30" s="22"/>
      <c r="D30" s="57"/>
      <c r="E30" s="22"/>
      <c r="F30" s="22"/>
      <c r="G30" s="22"/>
      <c r="H30" s="22"/>
      <c r="I30" s="22"/>
      <c r="J30" s="22"/>
      <c r="K30" s="22"/>
      <c r="L30" s="22"/>
      <c r="M30" s="22"/>
      <c r="N30" s="22"/>
      <c r="O30" s="22"/>
      <c r="P30" s="22"/>
      <c r="U30" s="113"/>
      <c r="V30" s="113"/>
      <c r="W30" s="113"/>
      <c r="X30" s="113"/>
      <c r="Y30" s="113"/>
      <c r="Z30" s="113"/>
      <c r="AA30" s="113"/>
      <c r="AB30" s="113"/>
      <c r="AC30" s="113"/>
      <c r="AD30" s="113"/>
      <c r="AE30" s="113"/>
      <c r="AF30" s="113"/>
      <c r="AG30" s="113"/>
      <c r="AH30" s="113"/>
      <c r="AI30" s="113"/>
      <c r="AJ30" s="113"/>
      <c r="AK30" s="113"/>
    </row>
    <row r="31" spans="1:37" ht="11.65" customHeight="1" x14ac:dyDescent="0.2">
      <c r="A31" s="117" t="s">
        <v>460</v>
      </c>
      <c r="B31" s="22"/>
      <c r="C31" s="22"/>
      <c r="D31" s="57"/>
      <c r="E31" s="22"/>
      <c r="F31" s="22"/>
      <c r="G31" s="22"/>
      <c r="H31" s="22"/>
      <c r="I31" s="22"/>
      <c r="J31" s="22"/>
      <c r="K31" s="22"/>
      <c r="L31" s="22"/>
      <c r="M31" s="22"/>
      <c r="N31" s="22"/>
      <c r="O31" s="22"/>
      <c r="P31" s="22"/>
      <c r="U31" s="113"/>
      <c r="V31" s="113"/>
      <c r="W31" s="113"/>
      <c r="X31" s="113"/>
      <c r="Y31" s="113"/>
      <c r="Z31" s="113"/>
      <c r="AA31" s="113"/>
      <c r="AB31" s="113"/>
      <c r="AC31" s="113"/>
      <c r="AD31" s="113"/>
      <c r="AE31" s="113"/>
      <c r="AF31" s="113"/>
      <c r="AG31" s="113"/>
      <c r="AH31" s="113"/>
      <c r="AI31" s="113"/>
      <c r="AJ31" s="113"/>
      <c r="AK31" s="113"/>
    </row>
    <row r="32" spans="1:37" ht="11.65" customHeight="1" x14ac:dyDescent="0.2">
      <c r="A32" s="117"/>
      <c r="B32" s="22"/>
      <c r="C32" s="22"/>
      <c r="D32" s="57"/>
      <c r="E32" s="22"/>
      <c r="F32" s="22"/>
      <c r="G32" s="22"/>
      <c r="H32" s="22"/>
      <c r="I32" s="22"/>
      <c r="J32" s="22"/>
      <c r="K32" s="22"/>
      <c r="L32" s="22"/>
      <c r="M32" s="22"/>
      <c r="N32" s="22"/>
      <c r="O32" s="22"/>
      <c r="P32" s="22"/>
      <c r="U32" s="113"/>
      <c r="V32" s="113"/>
      <c r="W32" s="113"/>
      <c r="X32" s="113"/>
      <c r="Y32" s="113"/>
      <c r="Z32" s="113"/>
      <c r="AA32" s="113"/>
      <c r="AB32" s="113"/>
      <c r="AC32" s="113"/>
      <c r="AD32" s="113"/>
      <c r="AE32" s="113"/>
      <c r="AF32" s="113"/>
      <c r="AG32" s="113"/>
      <c r="AH32" s="113"/>
      <c r="AI32" s="113"/>
      <c r="AJ32" s="113"/>
      <c r="AK32" s="113"/>
    </row>
    <row r="33" spans="1:24" s="153" customFormat="1" ht="14.25" x14ac:dyDescent="0.2">
      <c r="A33" s="150" t="s">
        <v>132</v>
      </c>
      <c r="B33" s="159"/>
      <c r="C33" s="159"/>
      <c r="D33" s="160"/>
      <c r="E33" s="160"/>
      <c r="F33" s="159"/>
      <c r="G33" s="159"/>
      <c r="H33" s="159"/>
      <c r="I33" s="159"/>
      <c r="J33" s="159"/>
      <c r="K33" s="159"/>
      <c r="L33" s="159"/>
      <c r="M33" s="159"/>
      <c r="N33" s="159"/>
      <c r="O33" s="159"/>
      <c r="P33" s="159"/>
      <c r="U33" s="154"/>
      <c r="V33" s="154"/>
      <c r="W33" s="154"/>
      <c r="X33" s="154"/>
    </row>
    <row r="34" spans="1:24" s="153" customFormat="1" ht="11.65" customHeight="1" x14ac:dyDescent="0.2">
      <c r="A34" s="22" t="s">
        <v>419</v>
      </c>
      <c r="B34" s="22"/>
      <c r="C34" s="22"/>
      <c r="D34" s="22"/>
      <c r="E34" s="22"/>
      <c r="F34" s="22"/>
      <c r="G34" s="22"/>
      <c r="H34" s="22"/>
      <c r="I34" s="22"/>
      <c r="J34" s="22"/>
      <c r="K34" s="22"/>
      <c r="L34" s="22"/>
      <c r="M34" s="22"/>
      <c r="N34" s="22"/>
      <c r="O34" s="22"/>
      <c r="P34" s="22"/>
      <c r="U34" s="154"/>
      <c r="V34" s="154"/>
      <c r="W34" s="154"/>
      <c r="X34" s="154"/>
    </row>
    <row r="35" spans="1:24" s="153" customFormat="1" ht="11.65" customHeight="1" x14ac:dyDescent="0.2">
      <c r="A35" s="420" t="s">
        <v>420</v>
      </c>
      <c r="B35" s="420"/>
      <c r="C35" s="420"/>
      <c r="D35" s="420"/>
      <c r="E35" s="420"/>
      <c r="F35" s="420"/>
      <c r="G35" s="420"/>
      <c r="H35" s="420"/>
      <c r="I35" s="420"/>
      <c r="J35" s="420"/>
      <c r="K35" s="420"/>
      <c r="L35" s="420"/>
      <c r="M35" s="420"/>
      <c r="N35" s="420"/>
      <c r="O35" s="420"/>
      <c r="P35" s="420"/>
      <c r="U35" s="154"/>
      <c r="V35" s="154"/>
      <c r="W35" s="154"/>
      <c r="X35" s="154"/>
    </row>
    <row r="36" spans="1:24" s="153" customFormat="1" ht="11.65" customHeight="1" x14ac:dyDescent="0.2">
      <c r="A36" s="420" t="s">
        <v>421</v>
      </c>
      <c r="B36" s="420"/>
      <c r="C36" s="420"/>
      <c r="D36" s="420"/>
      <c r="E36" s="420"/>
      <c r="F36" s="420"/>
      <c r="G36" s="420"/>
      <c r="H36" s="420"/>
      <c r="I36" s="420"/>
      <c r="J36" s="420"/>
      <c r="K36" s="420"/>
      <c r="L36" s="420"/>
      <c r="M36" s="420"/>
      <c r="N36" s="420"/>
      <c r="O36" s="420"/>
      <c r="P36" s="420"/>
      <c r="U36" s="154"/>
      <c r="V36" s="154"/>
      <c r="W36" s="154"/>
      <c r="X36" s="154"/>
    </row>
    <row r="37" spans="1:24" s="153" customFormat="1" ht="11.65" customHeight="1" x14ac:dyDescent="0.2">
      <c r="A37" s="420"/>
      <c r="B37" s="420"/>
      <c r="C37" s="420"/>
      <c r="D37" s="420"/>
      <c r="E37" s="420"/>
      <c r="F37" s="420"/>
      <c r="G37" s="420"/>
      <c r="H37" s="420"/>
      <c r="I37" s="420"/>
      <c r="J37" s="420"/>
      <c r="K37" s="420"/>
      <c r="L37" s="420"/>
      <c r="M37" s="420"/>
      <c r="N37" s="420"/>
      <c r="O37" s="420"/>
      <c r="P37" s="420"/>
      <c r="U37" s="154"/>
      <c r="V37" s="154"/>
      <c r="W37" s="154"/>
      <c r="X37" s="154"/>
    </row>
    <row r="38" spans="1:24" s="153" customFormat="1" ht="11.65" customHeight="1" x14ac:dyDescent="0.2">
      <c r="A38" s="420" t="s">
        <v>418</v>
      </c>
      <c r="B38" s="420"/>
      <c r="C38" s="420"/>
      <c r="D38" s="420"/>
      <c r="E38" s="420"/>
      <c r="F38" s="420"/>
      <c r="G38" s="420"/>
      <c r="H38" s="420"/>
      <c r="I38" s="420"/>
      <c r="J38" s="420"/>
      <c r="K38" s="420"/>
      <c r="L38" s="420"/>
      <c r="M38" s="420"/>
      <c r="N38" s="420"/>
      <c r="O38" s="420"/>
      <c r="P38" s="420"/>
      <c r="U38" s="154"/>
      <c r="V38" s="154"/>
      <c r="W38" s="154"/>
      <c r="X38" s="154"/>
    </row>
    <row r="39" spans="1:24" s="153" customFormat="1" ht="11.65" customHeight="1" x14ac:dyDescent="0.2">
      <c r="A39" s="420" t="s">
        <v>603</v>
      </c>
      <c r="B39" s="420"/>
      <c r="C39" s="420"/>
      <c r="D39" s="420"/>
      <c r="E39" s="420"/>
      <c r="F39" s="420"/>
      <c r="G39" s="420"/>
      <c r="H39" s="420"/>
      <c r="I39" s="420"/>
      <c r="J39" s="420"/>
      <c r="K39" s="420"/>
      <c r="L39" s="420"/>
      <c r="M39" s="420"/>
      <c r="N39" s="420"/>
      <c r="O39" s="420"/>
      <c r="P39" s="420"/>
      <c r="U39" s="154"/>
      <c r="V39" s="154"/>
      <c r="W39" s="154"/>
      <c r="X39" s="154"/>
    </row>
    <row r="40" spans="1:24" s="153" customFormat="1" ht="11.65" customHeight="1" x14ac:dyDescent="0.2">
      <c r="A40" s="420" t="s">
        <v>604</v>
      </c>
      <c r="B40" s="420"/>
      <c r="C40" s="420"/>
      <c r="D40" s="420"/>
      <c r="E40" s="420"/>
      <c r="F40" s="420"/>
      <c r="G40" s="420"/>
      <c r="H40" s="420"/>
      <c r="I40" s="420"/>
      <c r="J40" s="420"/>
      <c r="K40" s="420"/>
      <c r="L40" s="420"/>
      <c r="M40" s="420"/>
      <c r="N40" s="420"/>
      <c r="O40" s="420"/>
      <c r="P40" s="420"/>
      <c r="U40" s="154"/>
      <c r="V40" s="154"/>
      <c r="W40" s="154"/>
      <c r="X40" s="154"/>
    </row>
    <row r="41" spans="1:24" s="153" customFormat="1" ht="11.65" customHeight="1" x14ac:dyDescent="0.2">
      <c r="A41" s="420"/>
      <c r="B41" s="420"/>
      <c r="C41" s="420"/>
      <c r="D41" s="420"/>
      <c r="E41" s="420"/>
      <c r="F41" s="420"/>
      <c r="G41" s="420"/>
      <c r="H41" s="420"/>
      <c r="I41" s="420"/>
      <c r="J41" s="420"/>
      <c r="K41" s="420"/>
      <c r="L41" s="420"/>
      <c r="M41" s="420"/>
      <c r="N41" s="420"/>
      <c r="O41" s="420"/>
      <c r="P41" s="420"/>
      <c r="U41" s="154"/>
      <c r="V41" s="154"/>
      <c r="W41" s="154"/>
      <c r="X41" s="154"/>
    </row>
    <row r="42" spans="1:24" s="153" customFormat="1" ht="11.65" customHeight="1" x14ac:dyDescent="0.2">
      <c r="A42"/>
      <c r="B42" s="420"/>
      <c r="C42" s="420"/>
      <c r="D42" s="420"/>
      <c r="E42" s="420"/>
      <c r="F42" s="420"/>
      <c r="G42" s="420"/>
      <c r="H42" s="420"/>
      <c r="I42" s="420"/>
      <c r="J42" s="420"/>
      <c r="K42" s="420"/>
      <c r="L42" s="420"/>
      <c r="M42" s="420"/>
      <c r="N42" s="420"/>
      <c r="O42" s="420"/>
      <c r="P42" s="420"/>
      <c r="U42" s="154"/>
      <c r="V42" s="154"/>
      <c r="W42" s="154"/>
      <c r="X42" s="154"/>
    </row>
    <row r="43" spans="1:24" s="153" customFormat="1" ht="11.65" customHeight="1" x14ac:dyDescent="0.2">
      <c r="A43" s="420"/>
      <c r="B43" s="420"/>
      <c r="C43" s="420"/>
      <c r="D43" s="420"/>
      <c r="E43" s="420"/>
      <c r="F43" s="420"/>
      <c r="G43" s="420"/>
      <c r="H43" s="420"/>
      <c r="I43" s="420"/>
      <c r="J43" s="420"/>
      <c r="K43" s="420"/>
      <c r="L43" s="420"/>
      <c r="M43" s="420"/>
      <c r="N43" s="420"/>
      <c r="O43" s="420"/>
      <c r="P43" s="420"/>
      <c r="U43" s="154"/>
      <c r="V43" s="154"/>
      <c r="W43" s="154"/>
      <c r="X43" s="154"/>
    </row>
    <row r="44" spans="1:24" s="153" customFormat="1" ht="11.65" customHeight="1" x14ac:dyDescent="0.2">
      <c r="A44" s="420"/>
      <c r="B44" s="420"/>
      <c r="C44" s="420"/>
      <c r="D44" s="420"/>
      <c r="E44" s="420"/>
      <c r="F44" s="420"/>
      <c r="G44" s="420"/>
      <c r="H44" s="420"/>
      <c r="I44" s="420"/>
      <c r="J44" s="420"/>
      <c r="K44" s="420"/>
      <c r="L44" s="420"/>
      <c r="M44" s="420"/>
      <c r="N44" s="420"/>
      <c r="O44" s="420"/>
      <c r="P44" s="420"/>
      <c r="U44" s="154"/>
      <c r="V44" s="154"/>
      <c r="W44" s="154"/>
      <c r="X44" s="154"/>
    </row>
    <row r="45" spans="1:24" s="153" customFormat="1" ht="11.65" customHeight="1" x14ac:dyDescent="0.2">
      <c r="A45" s="420" t="s">
        <v>412</v>
      </c>
      <c r="B45" s="420"/>
      <c r="C45" s="420"/>
      <c r="D45" s="420"/>
      <c r="E45" s="420"/>
      <c r="F45" s="420"/>
      <c r="G45" s="420"/>
      <c r="H45" s="420"/>
      <c r="I45" s="420"/>
      <c r="J45" s="420"/>
      <c r="K45" s="420"/>
      <c r="L45" s="420"/>
      <c r="M45" s="420"/>
      <c r="N45" s="420"/>
      <c r="O45" s="420"/>
      <c r="P45" s="420"/>
      <c r="U45" s="154"/>
      <c r="V45" s="154"/>
      <c r="W45" s="154"/>
      <c r="X45" s="154"/>
    </row>
    <row r="46" spans="1:24" s="153" customFormat="1" ht="11.65" customHeight="1" x14ac:dyDescent="0.2">
      <c r="A46" s="420" t="s">
        <v>413</v>
      </c>
      <c r="B46" s="420"/>
      <c r="C46" s="420"/>
      <c r="D46" s="420"/>
      <c r="E46" s="420"/>
      <c r="F46" s="420"/>
      <c r="G46" s="420"/>
      <c r="H46" s="420"/>
      <c r="I46" s="420"/>
      <c r="J46" s="420"/>
      <c r="K46" s="420"/>
      <c r="L46" s="420"/>
      <c r="M46" s="420"/>
      <c r="N46" s="420"/>
      <c r="O46" s="420"/>
      <c r="P46" s="420"/>
      <c r="U46" s="154"/>
      <c r="V46" s="154"/>
      <c r="W46" s="154"/>
      <c r="X46" s="154"/>
    </row>
    <row r="47" spans="1:24" s="153" customFormat="1" ht="11.65" customHeight="1" x14ac:dyDescent="0.2">
      <c r="A47" s="420" t="s">
        <v>414</v>
      </c>
      <c r="B47" s="420"/>
      <c r="C47" s="420"/>
      <c r="D47" s="420"/>
      <c r="E47" s="420"/>
      <c r="F47" s="420"/>
      <c r="G47" s="420"/>
      <c r="H47" s="420"/>
      <c r="I47" s="420"/>
      <c r="J47" s="420"/>
      <c r="K47" s="420"/>
      <c r="L47" s="420"/>
      <c r="M47" s="420"/>
      <c r="N47" s="420"/>
      <c r="O47" s="420"/>
      <c r="P47" s="420"/>
      <c r="U47" s="154"/>
      <c r="V47" s="154"/>
      <c r="W47" s="154"/>
      <c r="X47" s="154"/>
    </row>
    <row r="48" spans="1:24" s="153" customFormat="1" ht="11.65" customHeight="1" x14ac:dyDescent="0.2">
      <c r="A48" s="420" t="s">
        <v>415</v>
      </c>
      <c r="B48" s="420"/>
      <c r="C48" s="420"/>
      <c r="D48" s="420"/>
      <c r="E48" s="420"/>
      <c r="F48" s="420"/>
      <c r="G48" s="420"/>
      <c r="H48" s="420"/>
      <c r="I48" s="420"/>
      <c r="J48" s="420"/>
      <c r="K48" s="420"/>
      <c r="L48" s="420"/>
      <c r="M48" s="420"/>
      <c r="N48" s="420"/>
      <c r="O48" s="420"/>
      <c r="P48" s="420"/>
      <c r="U48" s="154"/>
      <c r="V48" s="154"/>
      <c r="W48" s="154"/>
      <c r="X48" s="154"/>
    </row>
    <row r="49" spans="1:37" s="153" customFormat="1" ht="11.65" customHeight="1" x14ac:dyDescent="0.2">
      <c r="A49" s="420" t="s">
        <v>416</v>
      </c>
      <c r="B49" s="420"/>
      <c r="C49" s="420"/>
      <c r="D49" s="420"/>
      <c r="E49" s="420"/>
      <c r="F49" s="420"/>
      <c r="G49" s="420"/>
      <c r="H49" s="420"/>
      <c r="I49" s="420"/>
      <c r="J49" s="420"/>
      <c r="K49" s="420"/>
      <c r="L49" s="420"/>
      <c r="M49" s="420"/>
      <c r="N49" s="420"/>
      <c r="O49" s="420"/>
      <c r="P49" s="420"/>
      <c r="U49" s="154"/>
      <c r="V49" s="154"/>
      <c r="W49" s="154"/>
      <c r="X49" s="154"/>
    </row>
    <row r="50" spans="1:37" s="153" customFormat="1" ht="11.65" customHeight="1" x14ac:dyDescent="0.2">
      <c r="A50" s="420" t="s">
        <v>417</v>
      </c>
      <c r="B50" s="420"/>
      <c r="C50" s="420"/>
      <c r="D50" s="420"/>
      <c r="E50" s="420"/>
      <c r="F50" s="420"/>
      <c r="G50" s="420"/>
      <c r="H50" s="420"/>
      <c r="I50" s="420"/>
      <c r="J50" s="420"/>
      <c r="K50" s="420"/>
      <c r="L50" s="420"/>
      <c r="M50" s="420"/>
      <c r="N50" s="420"/>
      <c r="O50" s="420"/>
      <c r="P50" s="420"/>
      <c r="U50" s="154"/>
      <c r="V50" s="154"/>
      <c r="W50" s="154"/>
      <c r="X50" s="154"/>
    </row>
    <row r="51" spans="1:37" s="153" customFormat="1" ht="11.65" customHeight="1" x14ac:dyDescent="0.2">
      <c r="A51" s="420"/>
      <c r="B51" s="420"/>
      <c r="C51" s="420"/>
      <c r="D51" s="420"/>
      <c r="E51" s="420"/>
      <c r="F51" s="420"/>
      <c r="G51" s="420"/>
      <c r="H51" s="420"/>
      <c r="I51" s="420"/>
      <c r="J51" s="420"/>
      <c r="K51" s="420"/>
      <c r="L51" s="420"/>
      <c r="M51" s="420"/>
      <c r="N51" s="420"/>
      <c r="O51" s="420"/>
      <c r="P51" s="420"/>
      <c r="U51" s="154"/>
      <c r="V51" s="154"/>
      <c r="W51" s="154"/>
      <c r="X51" s="154"/>
    </row>
    <row r="52" spans="1:37" s="153" customFormat="1" ht="11.65" customHeight="1" x14ac:dyDescent="0.2">
      <c r="A52" s="420" t="s">
        <v>456</v>
      </c>
      <c r="B52" s="420"/>
      <c r="C52" s="420"/>
      <c r="D52" s="420"/>
      <c r="E52" s="420"/>
      <c r="F52" s="420"/>
      <c r="G52" s="420"/>
      <c r="H52" s="420"/>
      <c r="I52" s="420"/>
      <c r="J52" s="420"/>
      <c r="K52" s="420"/>
      <c r="L52" s="420"/>
      <c r="M52" s="420"/>
      <c r="N52" s="420"/>
      <c r="O52" s="420"/>
      <c r="P52" s="420"/>
      <c r="U52" s="154"/>
      <c r="V52" s="154"/>
      <c r="W52" s="154"/>
      <c r="X52" s="154"/>
    </row>
    <row r="53" spans="1:37" s="153" customFormat="1" ht="11.65" customHeight="1" x14ac:dyDescent="0.2">
      <c r="A53" s="420" t="s">
        <v>457</v>
      </c>
      <c r="B53" s="420"/>
      <c r="C53" s="420"/>
      <c r="D53" s="420"/>
      <c r="E53" s="420"/>
      <c r="F53" s="420"/>
      <c r="G53" s="420"/>
      <c r="H53" s="420"/>
      <c r="I53" s="420"/>
      <c r="J53" s="420"/>
      <c r="K53" s="420"/>
      <c r="L53" s="420"/>
      <c r="M53" s="420"/>
      <c r="N53" s="420"/>
      <c r="O53" s="420"/>
      <c r="P53" s="420"/>
      <c r="U53" s="154"/>
      <c r="V53" s="154"/>
      <c r="W53" s="154"/>
      <c r="X53" s="154"/>
    </row>
    <row r="54" spans="1:37" s="153" customFormat="1" ht="11.65" customHeight="1" x14ac:dyDescent="0.2">
      <c r="A54" s="420"/>
      <c r="B54" s="420"/>
      <c r="C54" s="420"/>
      <c r="D54" s="420"/>
      <c r="E54" s="420"/>
      <c r="F54" s="420"/>
      <c r="G54" s="420"/>
      <c r="H54" s="420"/>
      <c r="I54" s="420"/>
      <c r="J54" s="420"/>
      <c r="K54" s="420"/>
      <c r="L54" s="420"/>
      <c r="M54" s="420"/>
      <c r="N54" s="420"/>
      <c r="O54" s="420"/>
      <c r="P54" s="420"/>
      <c r="U54" s="154"/>
      <c r="V54" s="154"/>
      <c r="W54" s="154"/>
      <c r="X54" s="154"/>
    </row>
    <row r="55" spans="1:37" s="153" customFormat="1" ht="11.65" customHeight="1" x14ac:dyDescent="0.2">
      <c r="A55" s="420" t="s">
        <v>452</v>
      </c>
      <c r="B55" s="420"/>
      <c r="C55" s="420"/>
      <c r="D55" s="420"/>
      <c r="E55" s="420"/>
      <c r="F55" s="420"/>
      <c r="G55" s="420"/>
      <c r="H55" s="420"/>
      <c r="I55" s="420"/>
      <c r="J55" s="420"/>
      <c r="K55" s="420"/>
      <c r="L55" s="420"/>
      <c r="M55" s="420"/>
      <c r="N55" s="420"/>
      <c r="O55" s="420"/>
      <c r="P55" s="420"/>
      <c r="U55" s="154"/>
      <c r="V55" s="154"/>
      <c r="W55" s="154"/>
      <c r="X55" s="154"/>
    </row>
    <row r="56" spans="1:37" s="153" customFormat="1" ht="11.65" customHeight="1" x14ac:dyDescent="0.2">
      <c r="A56" s="420" t="s">
        <v>538</v>
      </c>
      <c r="B56" s="420"/>
      <c r="C56" s="420"/>
      <c r="D56" s="420"/>
      <c r="E56" s="420"/>
      <c r="F56" s="420"/>
      <c r="G56" s="420"/>
      <c r="H56" s="420"/>
      <c r="I56" s="420"/>
      <c r="J56" s="420"/>
      <c r="K56" s="420"/>
      <c r="L56" s="420"/>
      <c r="M56" s="420"/>
      <c r="N56" s="420"/>
      <c r="O56" s="420"/>
      <c r="P56" s="420"/>
      <c r="U56" s="154"/>
      <c r="V56" s="154"/>
      <c r="W56" s="154"/>
      <c r="X56" s="154"/>
    </row>
    <row r="57" spans="1:37" s="153" customFormat="1" ht="11.65" customHeight="1" x14ac:dyDescent="0.15">
      <c r="A57" s="10"/>
      <c r="B57" s="22"/>
      <c r="C57" s="10"/>
      <c r="D57" s="10"/>
      <c r="E57" s="10"/>
      <c r="F57" s="10"/>
      <c r="G57" s="10"/>
      <c r="H57" s="10"/>
      <c r="I57" s="10"/>
      <c r="J57" s="10"/>
      <c r="K57" s="10"/>
      <c r="L57" s="10"/>
      <c r="M57" s="10"/>
      <c r="N57" s="10"/>
      <c r="O57" s="10"/>
      <c r="P57" s="10"/>
      <c r="U57" s="154"/>
      <c r="V57" s="154"/>
      <c r="W57" s="154"/>
      <c r="X57" s="154"/>
    </row>
    <row r="58" spans="1:37" s="153" customFormat="1" ht="14.25" x14ac:dyDescent="0.2">
      <c r="A58" s="150" t="s">
        <v>19</v>
      </c>
      <c r="B58" s="151"/>
      <c r="C58" s="151"/>
      <c r="D58" s="151"/>
      <c r="E58" s="151"/>
      <c r="F58" s="151"/>
      <c r="G58" s="151"/>
      <c r="H58" s="151"/>
      <c r="I58" s="151"/>
      <c r="J58" s="151"/>
      <c r="K58" s="151"/>
      <c r="L58" s="151"/>
      <c r="M58" s="151"/>
      <c r="N58" s="151"/>
      <c r="O58" s="151"/>
      <c r="P58" s="151"/>
      <c r="U58" s="154"/>
      <c r="V58" s="154"/>
      <c r="W58" s="154"/>
      <c r="X58" s="154"/>
    </row>
    <row r="59" spans="1:37" ht="11.65" customHeight="1" x14ac:dyDescent="0.2">
      <c r="A59" s="286" t="s">
        <v>431</v>
      </c>
      <c r="B59" s="22"/>
      <c r="C59" s="22"/>
      <c r="D59" s="22"/>
      <c r="E59" s="22"/>
      <c r="F59" s="22"/>
      <c r="G59" s="22"/>
      <c r="H59" s="22"/>
      <c r="I59" s="22"/>
      <c r="J59" s="22"/>
      <c r="K59" s="22"/>
      <c r="L59" s="22"/>
      <c r="M59" s="22"/>
      <c r="N59" s="22"/>
      <c r="O59" s="22"/>
      <c r="P59" s="22"/>
      <c r="U59" s="113"/>
      <c r="V59" s="113"/>
      <c r="W59" s="113"/>
      <c r="X59" s="113"/>
      <c r="Y59" s="113"/>
      <c r="Z59" s="113"/>
      <c r="AA59" s="113"/>
      <c r="AB59" s="113"/>
      <c r="AC59" s="113"/>
      <c r="AD59" s="113"/>
      <c r="AE59" s="113"/>
      <c r="AF59" s="113"/>
      <c r="AG59" s="113"/>
      <c r="AH59" s="113"/>
      <c r="AI59" s="113"/>
      <c r="AJ59" s="113"/>
      <c r="AK59" s="113"/>
    </row>
    <row r="60" spans="1:37" ht="11.65" customHeight="1" x14ac:dyDescent="0.2">
      <c r="A60" s="286"/>
      <c r="B60" s="22"/>
      <c r="C60" s="22"/>
      <c r="D60" s="22"/>
      <c r="E60" s="22"/>
      <c r="F60" s="22"/>
      <c r="G60" s="22"/>
      <c r="H60" s="22"/>
      <c r="I60" s="22"/>
      <c r="J60" s="22"/>
      <c r="K60" s="22"/>
      <c r="L60" s="22"/>
      <c r="M60" s="22"/>
      <c r="N60" s="22"/>
      <c r="O60" s="22"/>
      <c r="P60" s="22"/>
      <c r="U60" s="113"/>
      <c r="V60" s="113"/>
      <c r="W60" s="113"/>
      <c r="X60" s="113"/>
      <c r="Y60" s="113"/>
      <c r="Z60" s="113"/>
      <c r="AA60" s="113"/>
      <c r="AB60" s="113"/>
      <c r="AC60" s="113"/>
      <c r="AD60" s="113"/>
      <c r="AE60" s="113"/>
      <c r="AF60" s="113"/>
      <c r="AG60" s="113"/>
      <c r="AH60" s="113"/>
      <c r="AI60" s="113"/>
      <c r="AJ60" s="113"/>
      <c r="AK60" s="113"/>
    </row>
    <row r="61" spans="1:37" ht="11.65" customHeight="1" x14ac:dyDescent="0.2">
      <c r="A61" s="605" t="s">
        <v>432</v>
      </c>
      <c r="B61" s="22"/>
      <c r="C61" s="22"/>
      <c r="D61" s="22"/>
      <c r="E61" s="22"/>
      <c r="F61" s="22"/>
      <c r="G61" s="22"/>
      <c r="H61" s="22"/>
      <c r="I61" s="22"/>
      <c r="J61" s="22"/>
      <c r="K61" s="22"/>
      <c r="L61" s="22"/>
      <c r="M61" s="22"/>
      <c r="N61" s="22"/>
      <c r="O61" s="22"/>
      <c r="P61" s="22"/>
      <c r="U61" s="113"/>
      <c r="V61" s="113"/>
      <c r="W61" s="113"/>
      <c r="X61" s="113"/>
      <c r="Y61" s="113"/>
      <c r="Z61" s="113"/>
      <c r="AA61" s="113"/>
      <c r="AB61" s="113"/>
      <c r="AC61" s="113"/>
      <c r="AD61" s="113"/>
      <c r="AE61" s="113"/>
      <c r="AF61" s="113"/>
      <c r="AG61" s="113"/>
      <c r="AH61" s="113"/>
      <c r="AI61" s="113"/>
      <c r="AJ61" s="113"/>
      <c r="AK61" s="113"/>
    </row>
    <row r="62" spans="1:37" ht="11.65" customHeight="1" x14ac:dyDescent="0.2">
      <c r="A62" s="117" t="s">
        <v>539</v>
      </c>
      <c r="B62" s="22"/>
      <c r="C62" s="22"/>
      <c r="D62" s="22"/>
      <c r="E62" s="22"/>
      <c r="F62" s="22"/>
      <c r="G62" s="22"/>
      <c r="H62" s="22"/>
      <c r="I62" s="22"/>
      <c r="J62" s="22"/>
      <c r="K62" s="22"/>
      <c r="L62" s="22"/>
      <c r="M62" s="22"/>
      <c r="N62" s="22"/>
      <c r="O62" s="22"/>
      <c r="P62" s="22"/>
      <c r="Y62" s="113"/>
      <c r="Z62" s="113"/>
      <c r="AA62" s="113"/>
      <c r="AB62" s="113"/>
      <c r="AC62" s="113"/>
      <c r="AD62" s="113"/>
      <c r="AE62" s="113"/>
      <c r="AF62" s="113"/>
      <c r="AG62" s="113"/>
      <c r="AH62" s="113"/>
      <c r="AI62" s="113"/>
      <c r="AJ62" s="113"/>
      <c r="AK62" s="113"/>
    </row>
    <row r="63" spans="1:37" ht="11.65" customHeight="1" x14ac:dyDescent="0.2">
      <c r="A63" s="604" t="s">
        <v>540</v>
      </c>
      <c r="B63" s="22"/>
      <c r="C63" s="22"/>
      <c r="D63" s="22"/>
      <c r="E63" s="22"/>
      <c r="F63" s="22"/>
      <c r="G63" s="22"/>
      <c r="H63" s="22"/>
      <c r="I63" s="22"/>
      <c r="J63" s="22"/>
      <c r="K63" s="22"/>
      <c r="L63" s="22"/>
      <c r="M63" s="22"/>
      <c r="N63" s="22"/>
      <c r="O63" s="22"/>
      <c r="P63" s="22"/>
      <c r="Y63" s="113"/>
      <c r="Z63" s="113"/>
      <c r="AA63" s="113"/>
      <c r="AB63" s="113"/>
      <c r="AC63" s="113"/>
      <c r="AD63" s="113"/>
      <c r="AE63" s="113"/>
      <c r="AF63" s="113"/>
      <c r="AG63" s="113"/>
      <c r="AH63" s="113"/>
      <c r="AI63" s="113"/>
      <c r="AJ63" s="113"/>
      <c r="AK63" s="113"/>
    </row>
    <row r="64" spans="1:37" ht="11.65" customHeight="1" x14ac:dyDescent="0.2">
      <c r="A64" s="604" t="s">
        <v>541</v>
      </c>
      <c r="B64" s="22"/>
      <c r="C64" s="22"/>
      <c r="D64" s="22"/>
      <c r="E64" s="22"/>
      <c r="F64" s="22"/>
      <c r="G64" s="22"/>
      <c r="H64" s="22"/>
      <c r="I64" s="22"/>
      <c r="J64" s="22"/>
      <c r="K64" s="22"/>
      <c r="L64" s="22"/>
      <c r="M64" s="22"/>
      <c r="N64" s="22"/>
      <c r="O64" s="22"/>
      <c r="P64" s="22"/>
      <c r="Y64" s="113"/>
      <c r="Z64" s="113"/>
      <c r="AA64" s="113"/>
      <c r="AB64" s="113"/>
      <c r="AC64" s="113"/>
      <c r="AD64" s="113"/>
      <c r="AE64" s="113"/>
      <c r="AF64" s="113"/>
      <c r="AG64" s="113"/>
      <c r="AH64" s="113"/>
      <c r="AI64" s="113"/>
      <c r="AJ64" s="113"/>
      <c r="AK64" s="113"/>
    </row>
    <row r="65" spans="1:37" ht="11.65" customHeight="1" x14ac:dyDescent="0.2">
      <c r="A65" s="604" t="s">
        <v>542</v>
      </c>
      <c r="B65" s="22"/>
      <c r="C65" s="22"/>
      <c r="D65" s="22"/>
      <c r="E65" s="22"/>
      <c r="F65" s="22"/>
      <c r="G65" s="22"/>
      <c r="H65" s="22"/>
      <c r="I65" s="22"/>
      <c r="J65" s="22"/>
      <c r="K65" s="22"/>
      <c r="L65" s="22"/>
      <c r="M65" s="22"/>
      <c r="N65" s="22"/>
      <c r="O65" s="22"/>
      <c r="P65" s="22"/>
      <c r="Y65" s="113"/>
      <c r="Z65" s="113"/>
      <c r="AA65" s="113"/>
      <c r="AB65" s="113"/>
      <c r="AC65" s="113"/>
      <c r="AD65" s="113"/>
      <c r="AE65" s="113"/>
      <c r="AF65" s="113"/>
      <c r="AG65" s="113"/>
      <c r="AH65" s="113"/>
      <c r="AI65" s="113"/>
      <c r="AJ65" s="113"/>
      <c r="AK65" s="113"/>
    </row>
    <row r="66" spans="1:37" ht="11.65" customHeight="1" x14ac:dyDescent="0.2">
      <c r="A66" s="604" t="s">
        <v>543</v>
      </c>
      <c r="B66" s="22"/>
      <c r="C66" s="22"/>
      <c r="D66" s="22"/>
      <c r="E66" s="22"/>
      <c r="F66" s="22"/>
      <c r="G66" s="22"/>
      <c r="H66" s="22"/>
      <c r="I66" s="22"/>
      <c r="J66" s="22"/>
      <c r="K66" s="22"/>
      <c r="L66" s="22"/>
      <c r="M66" s="22"/>
      <c r="N66" s="22"/>
      <c r="O66" s="22"/>
      <c r="P66" s="22"/>
      <c r="Y66" s="113"/>
      <c r="Z66" s="113"/>
      <c r="AA66" s="113"/>
      <c r="AB66" s="113"/>
      <c r="AC66" s="113"/>
      <c r="AD66" s="113"/>
      <c r="AE66" s="113"/>
      <c r="AF66" s="113"/>
      <c r="AG66" s="113"/>
      <c r="AH66" s="113"/>
      <c r="AI66" s="113"/>
      <c r="AJ66" s="113"/>
      <c r="AK66" s="113"/>
    </row>
    <row r="67" spans="1:37" ht="11.65" customHeight="1" x14ac:dyDescent="0.2">
      <c r="A67" s="42"/>
      <c r="B67" s="22"/>
      <c r="C67" s="22"/>
      <c r="D67" s="22"/>
      <c r="E67" s="22"/>
      <c r="F67" s="22"/>
      <c r="G67" s="22"/>
      <c r="H67" s="22"/>
      <c r="I67" s="22"/>
      <c r="J67" s="22"/>
      <c r="K67" s="22"/>
      <c r="L67" s="22"/>
      <c r="M67" s="22"/>
      <c r="N67" s="22"/>
      <c r="O67" s="22"/>
      <c r="P67" s="22"/>
      <c r="Y67" s="113"/>
      <c r="Z67" s="113"/>
      <c r="AA67" s="113"/>
      <c r="AB67" s="113"/>
      <c r="AC67" s="113"/>
      <c r="AD67" s="113"/>
      <c r="AE67" s="113"/>
      <c r="AF67" s="113"/>
      <c r="AG67" s="113"/>
      <c r="AH67" s="113"/>
      <c r="AI67" s="113"/>
      <c r="AJ67" s="113"/>
      <c r="AK67" s="113"/>
    </row>
    <row r="68" spans="1:37" ht="11.65" customHeight="1" x14ac:dyDescent="0.2">
      <c r="A68" s="603" t="s">
        <v>430</v>
      </c>
      <c r="B68" s="22"/>
      <c r="C68" s="22"/>
      <c r="D68" s="22"/>
      <c r="E68" s="22"/>
      <c r="F68" s="22"/>
      <c r="G68" s="22"/>
      <c r="H68" s="22"/>
      <c r="I68" s="22"/>
      <c r="J68" s="22"/>
      <c r="K68" s="22"/>
      <c r="L68" s="22"/>
      <c r="M68" s="22"/>
      <c r="N68" s="22"/>
      <c r="O68" s="22"/>
      <c r="P68" s="22"/>
      <c r="Y68" s="113"/>
      <c r="Z68" s="113"/>
      <c r="AA68" s="113"/>
      <c r="AB68" s="113"/>
      <c r="AC68" s="113"/>
      <c r="AD68" s="113"/>
      <c r="AE68" s="113"/>
      <c r="AF68" s="113"/>
      <c r="AG68" s="113"/>
      <c r="AH68" s="113"/>
      <c r="AI68" s="113"/>
      <c r="AJ68" s="113"/>
      <c r="AK68" s="113"/>
    </row>
    <row r="69" spans="1:37" ht="11.65" customHeight="1" x14ac:dyDescent="0.2">
      <c r="A69" s="604" t="s">
        <v>545</v>
      </c>
      <c r="B69" s="22"/>
      <c r="C69" s="22"/>
      <c r="D69" s="22"/>
      <c r="E69" s="22"/>
      <c r="F69" s="22"/>
      <c r="G69" s="22"/>
      <c r="H69" s="22"/>
      <c r="I69" s="22"/>
      <c r="J69" s="22"/>
      <c r="K69" s="22"/>
      <c r="L69" s="22"/>
      <c r="M69" s="22"/>
      <c r="N69" s="22"/>
      <c r="O69" s="22"/>
      <c r="P69" s="22"/>
      <c r="Y69" s="113"/>
      <c r="Z69" s="113"/>
      <c r="AA69" s="113"/>
      <c r="AB69" s="113"/>
      <c r="AC69" s="113"/>
      <c r="AD69" s="113"/>
      <c r="AE69" s="113"/>
      <c r="AF69" s="113"/>
      <c r="AG69" s="113"/>
      <c r="AH69" s="113"/>
      <c r="AI69" s="113"/>
      <c r="AJ69" s="113"/>
      <c r="AK69" s="113"/>
    </row>
    <row r="70" spans="1:37" ht="11.65" customHeight="1" x14ac:dyDescent="0.2">
      <c r="A70" s="604" t="s">
        <v>546</v>
      </c>
      <c r="B70" s="22"/>
      <c r="C70" s="22"/>
      <c r="D70" s="22"/>
      <c r="E70" s="22"/>
      <c r="F70" s="22"/>
      <c r="G70" s="22"/>
      <c r="H70" s="22"/>
      <c r="I70" s="22"/>
      <c r="J70" s="22"/>
      <c r="K70" s="22"/>
      <c r="L70" s="22"/>
      <c r="M70" s="22"/>
      <c r="N70" s="22"/>
      <c r="O70" s="22"/>
      <c r="P70" s="22"/>
      <c r="Y70" s="113"/>
      <c r="Z70" s="113"/>
      <c r="AA70" s="113"/>
      <c r="AB70" s="113"/>
      <c r="AC70" s="113"/>
      <c r="AD70" s="113"/>
      <c r="AE70" s="113"/>
      <c r="AF70" s="113"/>
      <c r="AG70" s="113"/>
      <c r="AH70" s="113"/>
      <c r="AI70" s="113"/>
      <c r="AJ70" s="113"/>
      <c r="AK70" s="113"/>
    </row>
    <row r="71" spans="1:37" ht="11.65" customHeight="1" x14ac:dyDescent="0.2">
      <c r="A71" s="604" t="s">
        <v>547</v>
      </c>
      <c r="B71" s="22"/>
      <c r="C71" s="22"/>
      <c r="D71" s="22"/>
      <c r="E71" s="22"/>
      <c r="F71" s="22"/>
      <c r="G71" s="22"/>
      <c r="H71" s="22"/>
      <c r="I71" s="22"/>
      <c r="J71" s="22"/>
      <c r="K71" s="22"/>
      <c r="L71" s="22"/>
      <c r="M71" s="22"/>
      <c r="N71" s="22"/>
      <c r="O71" s="22"/>
      <c r="P71" s="22"/>
      <c r="Y71" s="113"/>
      <c r="Z71" s="113"/>
      <c r="AA71" s="113"/>
      <c r="AB71" s="113"/>
      <c r="AC71" s="113"/>
      <c r="AD71" s="113"/>
      <c r="AE71" s="113"/>
      <c r="AF71" s="113"/>
      <c r="AG71" s="113"/>
      <c r="AH71" s="113"/>
      <c r="AI71" s="113"/>
      <c r="AJ71" s="113"/>
      <c r="AK71" s="113"/>
    </row>
    <row r="72" spans="1:37" ht="11.65" customHeight="1" x14ac:dyDescent="0.2">
      <c r="A72" s="604" t="s">
        <v>548</v>
      </c>
      <c r="B72" s="22"/>
      <c r="C72" s="22"/>
      <c r="D72" s="22"/>
      <c r="E72" s="22"/>
      <c r="F72" s="22"/>
      <c r="G72" s="22"/>
      <c r="H72" s="22"/>
      <c r="I72" s="22"/>
      <c r="J72" s="22"/>
      <c r="K72" s="22"/>
      <c r="L72" s="22"/>
      <c r="M72" s="22"/>
      <c r="N72" s="22"/>
      <c r="O72" s="22"/>
      <c r="P72" s="22"/>
      <c r="Y72" s="113"/>
      <c r="Z72" s="113"/>
      <c r="AA72" s="113"/>
      <c r="AB72" s="113"/>
      <c r="AC72" s="113"/>
      <c r="AD72" s="113"/>
      <c r="AE72" s="113"/>
      <c r="AF72" s="113"/>
      <c r="AG72" s="113"/>
      <c r="AH72" s="113"/>
      <c r="AI72" s="113"/>
      <c r="AJ72" s="113"/>
      <c r="AK72" s="113"/>
    </row>
    <row r="73" spans="1:37" ht="11.65" customHeight="1" x14ac:dyDescent="0.2">
      <c r="A73" s="604" t="s">
        <v>549</v>
      </c>
      <c r="B73" s="22"/>
      <c r="C73" s="22"/>
      <c r="D73" s="22"/>
      <c r="E73" s="22"/>
      <c r="F73" s="22"/>
      <c r="G73" s="22"/>
      <c r="H73" s="22"/>
      <c r="I73" s="22"/>
      <c r="J73" s="22"/>
      <c r="K73" s="22"/>
      <c r="L73" s="22"/>
      <c r="M73" s="22"/>
      <c r="N73" s="22"/>
      <c r="O73" s="22"/>
      <c r="P73" s="22"/>
      <c r="Y73" s="113"/>
      <c r="Z73" s="113"/>
      <c r="AA73" s="113"/>
      <c r="AB73" s="113"/>
      <c r="AC73" s="113"/>
      <c r="AD73" s="113"/>
      <c r="AE73" s="113"/>
      <c r="AF73" s="113"/>
      <c r="AG73" s="113"/>
      <c r="AH73" s="113"/>
      <c r="AI73" s="113"/>
      <c r="AJ73" s="113"/>
      <c r="AK73" s="113"/>
    </row>
    <row r="74" spans="1:37" ht="11.65" customHeight="1" x14ac:dyDescent="0.2">
      <c r="A74" s="604" t="s">
        <v>550</v>
      </c>
      <c r="B74" s="22"/>
      <c r="C74" s="22"/>
      <c r="D74" s="22"/>
      <c r="E74" s="22"/>
      <c r="F74" s="22"/>
      <c r="G74" s="22"/>
      <c r="H74" s="22"/>
      <c r="I74" s="22"/>
      <c r="J74" s="22"/>
      <c r="K74" s="22"/>
      <c r="L74" s="22"/>
      <c r="M74" s="22"/>
      <c r="N74" s="22"/>
      <c r="O74" s="22"/>
      <c r="P74" s="22"/>
      <c r="Y74" s="113"/>
      <c r="Z74" s="113"/>
      <c r="AA74" s="113"/>
      <c r="AB74" s="113"/>
      <c r="AC74" s="113"/>
      <c r="AD74" s="113"/>
      <c r="AE74" s="113"/>
      <c r="AF74" s="113"/>
      <c r="AG74" s="113"/>
      <c r="AH74" s="113"/>
      <c r="AI74" s="113"/>
      <c r="AJ74" s="113"/>
      <c r="AK74" s="113"/>
    </row>
    <row r="75" spans="1:37" ht="11.65" customHeight="1" x14ac:dyDescent="0.2">
      <c r="A75" s="604" t="s">
        <v>551</v>
      </c>
      <c r="B75" s="22"/>
      <c r="C75" s="22"/>
      <c r="D75" s="22"/>
      <c r="E75" s="22"/>
      <c r="F75" s="22"/>
      <c r="G75" s="22"/>
      <c r="H75" s="22"/>
      <c r="I75" s="22"/>
      <c r="J75" s="22"/>
      <c r="K75" s="22"/>
      <c r="L75" s="22"/>
      <c r="M75" s="22"/>
      <c r="N75" s="22"/>
      <c r="O75" s="22"/>
      <c r="P75" s="22"/>
      <c r="Y75" s="113"/>
      <c r="Z75" s="113"/>
      <c r="AA75" s="113"/>
      <c r="AB75" s="113"/>
      <c r="AC75" s="113"/>
      <c r="AD75" s="113"/>
      <c r="AE75" s="113"/>
      <c r="AF75" s="113"/>
      <c r="AG75" s="113"/>
      <c r="AH75" s="113"/>
      <c r="AI75" s="113"/>
      <c r="AJ75" s="113"/>
      <c r="AK75" s="113"/>
    </row>
    <row r="76" spans="1:37" ht="11.65" customHeight="1" x14ac:dyDescent="0.2">
      <c r="A76" s="115"/>
      <c r="B76" s="22"/>
      <c r="C76" s="22"/>
      <c r="D76" s="22"/>
      <c r="E76" s="22"/>
      <c r="F76" s="22"/>
      <c r="G76" s="22"/>
      <c r="H76" s="22"/>
      <c r="I76" s="22"/>
      <c r="J76" s="22"/>
      <c r="K76" s="22"/>
      <c r="L76" s="22"/>
      <c r="M76" s="22"/>
      <c r="N76" s="22"/>
      <c r="O76" s="22"/>
      <c r="P76" s="22"/>
      <c r="Y76" s="113"/>
      <c r="Z76" s="113"/>
      <c r="AA76" s="113"/>
      <c r="AB76" s="113"/>
      <c r="AC76" s="113"/>
      <c r="AD76" s="113"/>
      <c r="AE76" s="113"/>
      <c r="AF76" s="113"/>
      <c r="AG76" s="113"/>
      <c r="AH76" s="113"/>
      <c r="AI76" s="113"/>
      <c r="AJ76" s="113"/>
      <c r="AK76" s="113"/>
    </row>
    <row r="77" spans="1:37" s="147" customFormat="1" ht="11.65" customHeight="1" x14ac:dyDescent="0.15">
      <c r="A77" s="606" t="s">
        <v>433</v>
      </c>
      <c r="B77" s="606"/>
      <c r="C77" s="606"/>
      <c r="D77" s="606"/>
      <c r="E77" s="606"/>
      <c r="F77" s="606"/>
      <c r="G77" s="425"/>
      <c r="H77" s="425"/>
      <c r="I77" s="425"/>
      <c r="J77" s="425"/>
      <c r="K77" s="425"/>
      <c r="L77" s="425"/>
      <c r="N77" s="111"/>
      <c r="O77" s="111"/>
      <c r="P77" s="111"/>
    </row>
    <row r="78" spans="1:37" s="147" customFormat="1" ht="11.65" customHeight="1" x14ac:dyDescent="0.15">
      <c r="A78" s="607" t="s">
        <v>552</v>
      </c>
      <c r="B78" s="607"/>
      <c r="C78" s="607"/>
      <c r="D78" s="607"/>
      <c r="E78" s="607"/>
      <c r="F78" s="607"/>
      <c r="G78" s="425"/>
      <c r="H78" s="425"/>
      <c r="I78" s="425"/>
      <c r="J78" s="425"/>
      <c r="K78" s="425"/>
      <c r="L78" s="425"/>
      <c r="N78" s="111"/>
      <c r="O78" s="111"/>
      <c r="P78" s="111"/>
    </row>
    <row r="79" spans="1:37" s="147" customFormat="1" ht="11.65" customHeight="1" x14ac:dyDescent="0.15">
      <c r="A79" s="607" t="s">
        <v>553</v>
      </c>
      <c r="B79" s="607"/>
      <c r="C79" s="607"/>
      <c r="D79" s="607"/>
      <c r="E79" s="607"/>
      <c r="F79" s="607"/>
      <c r="G79" s="425"/>
      <c r="H79" s="425"/>
      <c r="I79" s="425"/>
      <c r="J79" s="425"/>
      <c r="K79" s="425"/>
      <c r="L79" s="425"/>
      <c r="N79" s="111"/>
      <c r="O79" s="111"/>
      <c r="P79" s="111"/>
    </row>
    <row r="80" spans="1:37" s="147" customFormat="1" ht="11.65" customHeight="1" x14ac:dyDescent="0.15">
      <c r="A80" s="293" t="s">
        <v>554</v>
      </c>
      <c r="B80" s="607"/>
      <c r="C80" s="607"/>
      <c r="D80" s="607"/>
      <c r="E80" s="607"/>
      <c r="F80" s="607"/>
      <c r="G80" s="425"/>
      <c r="H80" s="425"/>
      <c r="I80" s="425"/>
      <c r="J80" s="425"/>
      <c r="K80" s="425"/>
      <c r="L80" s="425"/>
      <c r="N80" s="111"/>
      <c r="O80" s="111"/>
      <c r="P80" s="111"/>
    </row>
    <row r="81" spans="1:37" s="147" customFormat="1" ht="11.65" customHeight="1" x14ac:dyDescent="0.15">
      <c r="A81" s="293" t="s">
        <v>555</v>
      </c>
      <c r="B81" s="607"/>
      <c r="C81" s="607"/>
      <c r="D81" s="607"/>
      <c r="E81" s="607"/>
      <c r="F81" s="607"/>
      <c r="G81" s="425"/>
      <c r="H81" s="425"/>
      <c r="I81" s="425"/>
      <c r="J81" s="425"/>
      <c r="K81" s="425"/>
      <c r="L81" s="425"/>
      <c r="N81" s="111"/>
      <c r="O81" s="111"/>
      <c r="P81" s="111"/>
    </row>
    <row r="82" spans="1:37" s="147" customFormat="1" ht="11.65" customHeight="1" x14ac:dyDescent="0.15">
      <c r="A82" s="293" t="s">
        <v>556</v>
      </c>
      <c r="B82" s="608"/>
      <c r="C82" s="607"/>
      <c r="D82" s="607"/>
      <c r="E82" s="607"/>
      <c r="F82" s="607"/>
      <c r="G82" s="425"/>
      <c r="H82" s="425"/>
      <c r="I82" s="425"/>
      <c r="J82" s="425"/>
      <c r="K82" s="425"/>
      <c r="L82" s="425"/>
      <c r="N82" s="111"/>
      <c r="O82" s="111"/>
      <c r="P82" s="111"/>
    </row>
    <row r="83" spans="1:37" s="147" customFormat="1" ht="11.65" customHeight="1" x14ac:dyDescent="0.15">
      <c r="A83" s="293" t="s">
        <v>557</v>
      </c>
      <c r="B83" s="608"/>
      <c r="C83" s="607"/>
      <c r="D83" s="607"/>
      <c r="E83" s="607"/>
      <c r="F83" s="607"/>
      <c r="G83" s="425"/>
      <c r="H83" s="425"/>
      <c r="I83" s="425"/>
      <c r="J83" s="425"/>
      <c r="K83" s="425"/>
      <c r="L83" s="425"/>
      <c r="N83" s="111"/>
      <c r="O83" s="111"/>
      <c r="P83" s="111"/>
    </row>
    <row r="84" spans="1:37" s="147" customFormat="1" ht="11.65" customHeight="1" x14ac:dyDescent="0.15">
      <c r="A84" s="293" t="s">
        <v>558</v>
      </c>
      <c r="B84" s="608"/>
      <c r="C84" s="607"/>
      <c r="D84" s="607"/>
      <c r="E84" s="607"/>
      <c r="F84" s="607"/>
      <c r="G84" s="425"/>
      <c r="H84" s="425"/>
      <c r="I84" s="425"/>
      <c r="J84" s="425"/>
      <c r="K84" s="425"/>
      <c r="L84" s="425"/>
      <c r="N84" s="111"/>
      <c r="O84" s="111"/>
      <c r="P84" s="111"/>
    </row>
    <row r="85" spans="1:37" s="147" customFormat="1" ht="11.65" customHeight="1" x14ac:dyDescent="0.15">
      <c r="A85" s="293" t="s">
        <v>559</v>
      </c>
      <c r="B85" s="608"/>
      <c r="C85" s="607"/>
      <c r="D85" s="607"/>
      <c r="E85" s="607"/>
      <c r="F85" s="607"/>
      <c r="G85" s="425"/>
      <c r="H85" s="425"/>
      <c r="I85" s="425"/>
      <c r="J85" s="425"/>
      <c r="K85" s="425"/>
      <c r="L85" s="425"/>
      <c r="N85" s="111"/>
      <c r="O85" s="111"/>
      <c r="P85" s="111"/>
    </row>
    <row r="86" spans="1:37" s="147" customFormat="1" ht="11.65" customHeight="1" x14ac:dyDescent="0.15">
      <c r="A86" s="293" t="s">
        <v>560</v>
      </c>
      <c r="B86" s="608"/>
      <c r="C86" s="607"/>
      <c r="D86" s="607"/>
      <c r="E86" s="607"/>
      <c r="F86" s="607"/>
      <c r="G86" s="425"/>
      <c r="H86" s="425"/>
      <c r="I86" s="425"/>
      <c r="J86" s="425"/>
      <c r="K86" s="425"/>
      <c r="L86" s="425"/>
      <c r="N86" s="111"/>
      <c r="O86" s="111"/>
      <c r="P86" s="111"/>
    </row>
    <row r="87" spans="1:37" s="147" customFormat="1" ht="11.65" customHeight="1" x14ac:dyDescent="0.15">
      <c r="A87" s="293" t="s">
        <v>561</v>
      </c>
      <c r="B87" s="608"/>
      <c r="C87" s="607"/>
      <c r="D87" s="607"/>
      <c r="E87" s="607"/>
      <c r="F87" s="607"/>
      <c r="G87" s="425"/>
      <c r="H87" s="425"/>
      <c r="I87" s="425"/>
      <c r="J87" s="425"/>
      <c r="K87" s="425"/>
      <c r="L87" s="425"/>
      <c r="N87" s="111"/>
      <c r="O87" s="111"/>
      <c r="P87" s="111"/>
    </row>
    <row r="88" spans="1:37" s="147" customFormat="1" ht="11.65" customHeight="1" thickBot="1" x14ac:dyDescent="0.2">
      <c r="A88" s="293"/>
      <c r="B88" s="608"/>
      <c r="C88" s="607"/>
      <c r="D88" s="607"/>
      <c r="E88" s="607"/>
      <c r="F88" s="607"/>
      <c r="G88" s="425"/>
      <c r="H88" s="425"/>
      <c r="I88" s="425"/>
      <c r="J88" s="425"/>
      <c r="K88" s="425"/>
      <c r="L88" s="425"/>
      <c r="N88" s="111"/>
      <c r="O88" s="111"/>
      <c r="P88" s="111"/>
    </row>
    <row r="89" spans="1:37" s="147" customFormat="1" ht="11.65" customHeight="1" x14ac:dyDescent="0.15">
      <c r="A89" s="919" t="s">
        <v>18</v>
      </c>
      <c r="B89" s="681"/>
      <c r="C89" s="681"/>
      <c r="D89" s="681"/>
      <c r="E89" s="681"/>
      <c r="F89" s="681"/>
      <c r="G89" s="681"/>
      <c r="H89" s="681"/>
      <c r="I89" s="681"/>
      <c r="J89" s="681"/>
      <c r="K89" s="682"/>
      <c r="L89" s="682"/>
      <c r="M89" s="681"/>
      <c r="N89" s="683"/>
      <c r="O89" s="683"/>
      <c r="P89" s="684"/>
    </row>
    <row r="90" spans="1:37" s="147" customFormat="1" ht="11.65" customHeight="1" x14ac:dyDescent="0.15">
      <c r="A90" s="685" t="s">
        <v>544</v>
      </c>
      <c r="B90" s="686"/>
      <c r="C90" s="686"/>
      <c r="D90" s="686"/>
      <c r="E90" s="686"/>
      <c r="F90" s="686"/>
      <c r="G90" s="686"/>
      <c r="H90" s="686"/>
      <c r="I90" s="686"/>
      <c r="J90" s="686"/>
      <c r="K90" s="687"/>
      <c r="L90" s="687"/>
      <c r="M90" s="686"/>
      <c r="N90" s="688"/>
      <c r="O90" s="688"/>
      <c r="P90" s="689"/>
    </row>
    <row r="91" spans="1:37" s="147" customFormat="1" ht="11.65" customHeight="1" thickBot="1" x14ac:dyDescent="0.2">
      <c r="A91" s="690" t="s">
        <v>562</v>
      </c>
      <c r="B91" s="691"/>
      <c r="C91" s="691"/>
      <c r="D91" s="691"/>
      <c r="E91" s="691"/>
      <c r="F91" s="691"/>
      <c r="G91" s="691"/>
      <c r="H91" s="691"/>
      <c r="I91" s="691"/>
      <c r="J91" s="691"/>
      <c r="K91" s="692"/>
      <c r="L91" s="692"/>
      <c r="M91" s="692"/>
      <c r="N91" s="692"/>
      <c r="O91" s="692"/>
      <c r="P91" s="693"/>
    </row>
    <row r="92" spans="1:37" s="147" customFormat="1" ht="11.65" customHeight="1" thickBot="1" x14ac:dyDescent="0.2">
      <c r="A92" s="115"/>
      <c r="B92" s="22"/>
      <c r="C92" s="22"/>
      <c r="D92" s="22"/>
      <c r="E92" s="22"/>
      <c r="F92" s="22"/>
      <c r="G92" s="22"/>
      <c r="H92" s="22"/>
      <c r="I92" s="22"/>
      <c r="J92" s="22"/>
      <c r="K92" s="111"/>
      <c r="L92" s="111"/>
      <c r="M92" s="111"/>
      <c r="N92" s="111"/>
      <c r="O92" s="111"/>
      <c r="P92" s="111"/>
    </row>
    <row r="93" spans="1:37" s="153" customFormat="1" ht="15" thickBot="1" x14ac:dyDescent="0.25">
      <c r="A93" s="161" t="s">
        <v>605</v>
      </c>
      <c r="B93" s="162"/>
      <c r="C93" s="163"/>
      <c r="D93" s="163"/>
      <c r="E93" s="163"/>
      <c r="F93" s="163"/>
      <c r="G93" s="163"/>
      <c r="H93" s="163"/>
      <c r="I93" s="163"/>
      <c r="J93" s="163"/>
      <c r="K93" s="164"/>
      <c r="L93" s="164"/>
      <c r="M93" s="164"/>
      <c r="N93" s="164"/>
      <c r="O93" s="164"/>
      <c r="P93" s="165"/>
      <c r="U93" s="154"/>
      <c r="V93" s="154"/>
      <c r="W93" s="154"/>
      <c r="X93" s="154"/>
    </row>
    <row r="94" spans="1:37" ht="11.65" customHeight="1" x14ac:dyDescent="0.15">
      <c r="A94" s="119" t="s">
        <v>85</v>
      </c>
      <c r="B94" s="119"/>
      <c r="C94" s="119"/>
      <c r="D94" s="119"/>
      <c r="E94" s="119"/>
      <c r="F94" s="119"/>
      <c r="G94" s="119"/>
      <c r="H94" s="119"/>
      <c r="I94" s="119"/>
      <c r="J94" s="119"/>
      <c r="K94" s="119"/>
      <c r="L94" s="119"/>
      <c r="M94" s="119"/>
      <c r="N94" s="119"/>
      <c r="P94" s="118"/>
      <c r="Y94" s="113"/>
      <c r="Z94" s="113"/>
      <c r="AA94" s="113"/>
      <c r="AB94" s="113"/>
      <c r="AC94" s="113"/>
      <c r="AD94" s="113"/>
      <c r="AE94" s="113"/>
      <c r="AF94" s="113"/>
      <c r="AG94" s="113"/>
      <c r="AH94" s="113"/>
      <c r="AI94" s="113"/>
      <c r="AJ94" s="113"/>
      <c r="AK94" s="113"/>
    </row>
    <row r="95" spans="1:37" ht="11.65" customHeight="1" x14ac:dyDescent="0.15">
      <c r="A95" s="119" t="s">
        <v>86</v>
      </c>
      <c r="B95" s="119"/>
      <c r="C95" s="119"/>
      <c r="D95" s="119"/>
      <c r="E95" s="119"/>
      <c r="F95" s="119"/>
      <c r="G95" s="119"/>
      <c r="H95" s="119"/>
      <c r="I95" s="119"/>
      <c r="J95" s="119"/>
      <c r="K95" s="119"/>
      <c r="L95" s="119"/>
      <c r="M95" s="119"/>
      <c r="N95" s="119"/>
      <c r="P95" s="118"/>
    </row>
    <row r="96" spans="1:37" ht="11.65" customHeight="1" x14ac:dyDescent="0.15">
      <c r="A96" s="119" t="s">
        <v>117</v>
      </c>
      <c r="B96" s="119"/>
      <c r="C96" s="119"/>
      <c r="D96" s="119"/>
      <c r="E96" s="119"/>
      <c r="F96" s="119"/>
      <c r="G96" s="119"/>
      <c r="H96" s="119"/>
      <c r="I96" s="119"/>
      <c r="J96" s="119"/>
      <c r="K96" s="119"/>
      <c r="L96" s="119"/>
      <c r="M96" s="119"/>
      <c r="N96" s="119"/>
      <c r="P96" s="118"/>
    </row>
    <row r="97" spans="1:37" ht="11.65" customHeight="1" x14ac:dyDescent="0.15">
      <c r="A97" s="119" t="s">
        <v>87</v>
      </c>
      <c r="B97" s="119"/>
      <c r="C97" s="119"/>
      <c r="D97" s="119"/>
      <c r="E97" s="119"/>
      <c r="F97" s="119"/>
      <c r="G97" s="119"/>
      <c r="H97" s="119"/>
      <c r="I97" s="119"/>
      <c r="J97" s="119"/>
      <c r="K97" s="119"/>
      <c r="L97" s="119"/>
      <c r="M97" s="119"/>
      <c r="N97" s="119"/>
      <c r="P97" s="118"/>
    </row>
    <row r="98" spans="1:37" ht="11.65" customHeight="1" x14ac:dyDescent="0.2">
      <c r="A98" s="115"/>
      <c r="B98" s="22"/>
      <c r="C98" s="22"/>
      <c r="D98" s="22"/>
      <c r="E98" s="22"/>
      <c r="F98" s="22"/>
      <c r="G98" s="22"/>
      <c r="H98" s="22"/>
      <c r="I98" s="22"/>
      <c r="J98" s="22"/>
      <c r="K98" s="22"/>
      <c r="L98" s="22"/>
      <c r="M98" s="22"/>
      <c r="N98" s="22"/>
      <c r="O98" s="22"/>
      <c r="P98" s="22"/>
    </row>
    <row r="99" spans="1:37" s="153" customFormat="1" ht="14.25" x14ac:dyDescent="0.2">
      <c r="A99" s="150" t="s">
        <v>0</v>
      </c>
      <c r="B99" s="151"/>
      <c r="C99" s="151"/>
      <c r="D99" s="151"/>
      <c r="E99" s="151"/>
      <c r="F99" s="151"/>
      <c r="G99" s="151"/>
      <c r="H99" s="151"/>
      <c r="I99" s="151"/>
      <c r="J99" s="151"/>
      <c r="K99" s="151"/>
      <c r="L99" s="151"/>
      <c r="M99" s="151"/>
      <c r="N99" s="151"/>
      <c r="O99" s="151"/>
      <c r="P99" s="151"/>
      <c r="U99" s="154"/>
      <c r="V99" s="154"/>
      <c r="W99" s="154"/>
      <c r="X99" s="154"/>
      <c r="Y99" s="154"/>
      <c r="Z99" s="154"/>
      <c r="AA99" s="154"/>
      <c r="AB99" s="154"/>
      <c r="AC99" s="154"/>
      <c r="AD99" s="154"/>
      <c r="AE99" s="154"/>
      <c r="AF99" s="154"/>
      <c r="AG99" s="154"/>
      <c r="AH99" s="154"/>
      <c r="AI99" s="154"/>
      <c r="AJ99" s="154"/>
      <c r="AK99" s="154"/>
    </row>
    <row r="100" spans="1:37" s="274" customFormat="1" ht="11.65" customHeight="1" x14ac:dyDescent="0.2">
      <c r="A100" s="292" t="s">
        <v>449</v>
      </c>
      <c r="B100" s="148"/>
      <c r="C100" s="148"/>
      <c r="D100" s="148"/>
      <c r="E100" s="148"/>
      <c r="F100" s="148"/>
      <c r="G100" s="148"/>
      <c r="H100" s="148"/>
      <c r="I100" s="148"/>
      <c r="J100" s="273"/>
      <c r="K100" s="273"/>
      <c r="L100" s="273"/>
      <c r="M100" s="273"/>
      <c r="N100" s="273"/>
      <c r="O100" s="273"/>
      <c r="P100" s="273"/>
      <c r="U100" s="273"/>
      <c r="V100" s="273"/>
      <c r="W100" s="273"/>
      <c r="X100" s="273"/>
      <c r="Y100" s="273"/>
      <c r="Z100" s="273"/>
      <c r="AA100" s="273"/>
      <c r="AB100" s="273"/>
      <c r="AC100" s="273"/>
      <c r="AD100" s="273"/>
      <c r="AE100" s="273"/>
      <c r="AF100" s="273"/>
      <c r="AG100" s="273"/>
      <c r="AH100" s="273"/>
      <c r="AI100" s="273"/>
      <c r="AJ100" s="273"/>
      <c r="AK100" s="273"/>
    </row>
    <row r="101" spans="1:37" s="274" customFormat="1" ht="11.65" customHeight="1" x14ac:dyDescent="0.2">
      <c r="A101" s="293" t="s">
        <v>450</v>
      </c>
      <c r="B101" s="148"/>
      <c r="C101" s="148"/>
      <c r="D101" s="148"/>
      <c r="E101" s="148"/>
      <c r="F101" s="148"/>
      <c r="G101" s="148"/>
      <c r="H101" s="148"/>
      <c r="I101" s="148"/>
      <c r="J101" s="273"/>
      <c r="K101" s="273"/>
      <c r="L101" s="273"/>
      <c r="M101" s="273"/>
      <c r="N101" s="273"/>
      <c r="O101" s="273"/>
      <c r="P101" s="273"/>
      <c r="U101" s="273"/>
      <c r="V101" s="273"/>
      <c r="W101" s="273"/>
      <c r="X101" s="273"/>
      <c r="Y101" s="273"/>
      <c r="Z101" s="273"/>
      <c r="AA101" s="273"/>
      <c r="AB101" s="273"/>
      <c r="AC101" s="273"/>
      <c r="AD101" s="273"/>
      <c r="AE101" s="273"/>
      <c r="AF101" s="273"/>
      <c r="AG101" s="273"/>
      <c r="AH101" s="273"/>
      <c r="AI101" s="273"/>
      <c r="AJ101" s="273"/>
      <c r="AK101" s="273"/>
    </row>
    <row r="102" spans="1:37" s="274" customFormat="1" ht="11.65" customHeight="1" x14ac:dyDescent="0.2">
      <c r="A102" s="293" t="s">
        <v>563</v>
      </c>
      <c r="B102" s="148"/>
      <c r="C102" s="148"/>
      <c r="D102" s="148"/>
      <c r="E102" s="148"/>
      <c r="F102" s="148"/>
      <c r="G102" s="148"/>
      <c r="H102" s="148"/>
      <c r="I102" s="148"/>
      <c r="J102" s="273"/>
      <c r="K102" s="273"/>
      <c r="L102" s="273"/>
      <c r="M102" s="273"/>
      <c r="N102" s="273"/>
      <c r="O102" s="273"/>
      <c r="P102" s="273"/>
      <c r="U102" s="273"/>
      <c r="V102" s="273"/>
      <c r="W102" s="273"/>
      <c r="X102" s="273"/>
      <c r="Y102" s="273"/>
      <c r="Z102" s="273"/>
      <c r="AA102" s="273"/>
      <c r="AB102" s="273"/>
      <c r="AC102" s="273"/>
      <c r="AD102" s="273"/>
      <c r="AE102" s="273"/>
      <c r="AF102" s="273"/>
      <c r="AG102" s="273"/>
      <c r="AH102" s="273"/>
      <c r="AI102" s="273"/>
      <c r="AJ102" s="273"/>
      <c r="AK102" s="273"/>
    </row>
    <row r="103" spans="1:37" s="274" customFormat="1" ht="11.65" customHeight="1" x14ac:dyDescent="0.2">
      <c r="A103" s="293"/>
      <c r="B103" s="148"/>
      <c r="C103" s="148"/>
      <c r="D103" s="148"/>
      <c r="E103" s="148"/>
      <c r="F103" s="148"/>
      <c r="G103" s="148"/>
      <c r="H103" s="148"/>
      <c r="I103" s="148"/>
      <c r="J103" s="273"/>
      <c r="K103" s="273"/>
      <c r="L103" s="273"/>
      <c r="M103" s="273"/>
      <c r="N103" s="273"/>
      <c r="O103" s="273"/>
      <c r="P103" s="273"/>
      <c r="U103" s="273"/>
      <c r="V103" s="273"/>
      <c r="W103" s="273"/>
      <c r="X103" s="273"/>
      <c r="Y103" s="273"/>
      <c r="Z103" s="273"/>
      <c r="AA103" s="273"/>
      <c r="AB103" s="273"/>
      <c r="AC103" s="273"/>
      <c r="AD103" s="273"/>
      <c r="AE103" s="273"/>
      <c r="AF103" s="273"/>
      <c r="AG103" s="273"/>
      <c r="AH103" s="273"/>
      <c r="AI103" s="273"/>
      <c r="AJ103" s="273"/>
      <c r="AK103" s="273"/>
    </row>
    <row r="104" spans="1:37" s="274" customFormat="1" ht="11.65" customHeight="1" x14ac:dyDescent="0.2">
      <c r="A104" s="294" t="s">
        <v>189</v>
      </c>
      <c r="B104" s="148"/>
      <c r="C104" s="148"/>
      <c r="D104" s="148"/>
      <c r="E104" s="148"/>
      <c r="F104" s="148"/>
      <c r="G104" s="148"/>
      <c r="H104" s="148"/>
      <c r="I104" s="148"/>
      <c r="J104" s="273"/>
      <c r="K104" s="273"/>
      <c r="L104" s="273"/>
      <c r="M104" s="273"/>
      <c r="N104" s="273"/>
      <c r="O104" s="273"/>
      <c r="P104" s="273"/>
      <c r="U104" s="273"/>
      <c r="V104" s="273"/>
      <c r="W104" s="273"/>
      <c r="X104" s="273"/>
      <c r="Y104" s="273"/>
      <c r="Z104" s="273"/>
      <c r="AA104" s="273"/>
      <c r="AB104" s="273"/>
      <c r="AC104" s="273"/>
      <c r="AD104" s="273"/>
      <c r="AE104" s="273"/>
      <c r="AF104" s="273"/>
      <c r="AG104" s="273"/>
      <c r="AH104" s="273"/>
      <c r="AI104" s="273"/>
      <c r="AJ104" s="273"/>
      <c r="AK104" s="273"/>
    </row>
    <row r="105" spans="1:37" s="274" customFormat="1" ht="11.65" customHeight="1" x14ac:dyDescent="0.2">
      <c r="A105" s="293" t="s">
        <v>565</v>
      </c>
      <c r="B105" s="422"/>
      <c r="C105" s="422"/>
      <c r="D105" s="422"/>
      <c r="E105" s="422"/>
      <c r="F105" s="422"/>
      <c r="G105" s="422"/>
      <c r="H105" s="422"/>
      <c r="I105" s="422"/>
      <c r="J105" s="422"/>
      <c r="K105" s="422"/>
      <c r="L105" s="422"/>
      <c r="M105" s="422"/>
      <c r="N105" s="273"/>
      <c r="O105" s="273"/>
      <c r="P105" s="273"/>
      <c r="U105" s="273"/>
      <c r="V105" s="273"/>
      <c r="W105" s="273"/>
      <c r="X105" s="273"/>
      <c r="Y105" s="273"/>
      <c r="Z105" s="273"/>
      <c r="AA105" s="273"/>
      <c r="AB105" s="273"/>
      <c r="AC105" s="273"/>
      <c r="AD105" s="273"/>
      <c r="AE105" s="273"/>
      <c r="AF105" s="273"/>
      <c r="AG105" s="273"/>
      <c r="AH105" s="273"/>
      <c r="AI105" s="273"/>
      <c r="AJ105" s="273"/>
      <c r="AK105" s="273"/>
    </row>
    <row r="106" spans="1:37" s="274" customFormat="1" ht="11.65" customHeight="1" x14ac:dyDescent="0.2">
      <c r="A106" s="294" t="s">
        <v>190</v>
      </c>
      <c r="B106" s="148"/>
      <c r="C106" s="148"/>
      <c r="D106" s="148"/>
      <c r="E106" s="148"/>
      <c r="F106" s="148"/>
      <c r="G106" s="148"/>
      <c r="H106" s="148"/>
      <c r="I106" s="148"/>
      <c r="J106" s="273"/>
      <c r="K106" s="273"/>
      <c r="L106" s="273"/>
      <c r="M106" s="273"/>
      <c r="N106" s="273"/>
      <c r="O106" s="273"/>
      <c r="P106" s="273"/>
      <c r="U106" s="273"/>
      <c r="V106" s="273"/>
      <c r="W106" s="273"/>
      <c r="X106" s="273"/>
      <c r="Y106" s="273"/>
      <c r="Z106" s="273"/>
      <c r="AA106" s="273"/>
      <c r="AB106" s="273"/>
      <c r="AC106" s="273"/>
      <c r="AD106" s="273"/>
      <c r="AE106" s="273"/>
      <c r="AF106" s="273"/>
      <c r="AG106" s="273"/>
      <c r="AH106" s="273"/>
      <c r="AI106" s="273"/>
      <c r="AJ106" s="273"/>
      <c r="AK106" s="273"/>
    </row>
    <row r="107" spans="1:37" s="274" customFormat="1" ht="11.65" customHeight="1" x14ac:dyDescent="0.2">
      <c r="A107" s="293" t="s">
        <v>564</v>
      </c>
      <c r="B107" s="422"/>
      <c r="C107" s="422"/>
      <c r="D107" s="422"/>
      <c r="E107" s="422"/>
      <c r="F107" s="422"/>
      <c r="G107" s="422"/>
      <c r="H107" s="422"/>
      <c r="I107" s="422"/>
      <c r="J107" s="422"/>
      <c r="K107" s="422"/>
      <c r="L107" s="422"/>
      <c r="M107" s="422"/>
      <c r="N107" s="422"/>
      <c r="O107" s="422"/>
      <c r="P107" s="422"/>
      <c r="U107" s="273"/>
      <c r="V107" s="273"/>
      <c r="W107" s="273"/>
      <c r="X107" s="273"/>
      <c r="Y107" s="273"/>
      <c r="Z107" s="273"/>
      <c r="AA107" s="273"/>
      <c r="AB107" s="273"/>
      <c r="AC107" s="273"/>
      <c r="AD107" s="273"/>
      <c r="AE107" s="273"/>
      <c r="AF107" s="273"/>
      <c r="AG107" s="273"/>
      <c r="AH107" s="273"/>
      <c r="AI107" s="273"/>
      <c r="AJ107" s="273"/>
      <c r="AK107" s="273"/>
    </row>
    <row r="108" spans="1:37" s="274" customFormat="1" ht="11.65" customHeight="1" x14ac:dyDescent="0.2">
      <c r="A108" s="294" t="s">
        <v>191</v>
      </c>
      <c r="B108" s="148"/>
      <c r="C108" s="148"/>
      <c r="D108" s="148"/>
      <c r="E108" s="148"/>
      <c r="F108" s="148"/>
      <c r="G108" s="148"/>
      <c r="H108" s="148"/>
      <c r="I108" s="148"/>
      <c r="J108" s="273"/>
      <c r="K108" s="273"/>
      <c r="L108" s="273"/>
      <c r="M108" s="273"/>
      <c r="N108" s="273"/>
      <c r="O108" s="273"/>
      <c r="P108" s="273"/>
      <c r="U108" s="273"/>
      <c r="V108" s="273"/>
      <c r="W108" s="273"/>
      <c r="X108" s="273"/>
      <c r="Y108" s="273"/>
      <c r="Z108" s="273"/>
      <c r="AA108" s="273"/>
      <c r="AB108" s="273"/>
      <c r="AC108" s="273"/>
      <c r="AD108" s="273"/>
      <c r="AE108" s="273"/>
      <c r="AF108" s="273"/>
      <c r="AG108" s="273"/>
      <c r="AH108" s="273"/>
      <c r="AI108" s="273"/>
      <c r="AJ108" s="273"/>
      <c r="AK108" s="273"/>
    </row>
    <row r="109" spans="1:37" s="274" customFormat="1" ht="11.65" customHeight="1" x14ac:dyDescent="0.2">
      <c r="A109" s="293" t="s">
        <v>192</v>
      </c>
      <c r="B109" s="422"/>
      <c r="C109" s="422"/>
      <c r="D109" s="422"/>
      <c r="E109" s="422"/>
      <c r="F109" s="422"/>
      <c r="G109" s="422"/>
      <c r="H109" s="422"/>
      <c r="I109" s="422"/>
      <c r="J109" s="422"/>
      <c r="K109" s="422"/>
      <c r="L109" s="422"/>
      <c r="M109" s="422"/>
      <c r="N109" s="422"/>
      <c r="O109" s="273"/>
      <c r="P109" s="273"/>
      <c r="U109" s="273"/>
      <c r="V109" s="273"/>
      <c r="W109" s="273"/>
      <c r="X109" s="273"/>
      <c r="Y109" s="273"/>
      <c r="Z109" s="273"/>
      <c r="AA109" s="273"/>
      <c r="AB109" s="273"/>
      <c r="AC109" s="273"/>
      <c r="AD109" s="273"/>
      <c r="AE109" s="273"/>
      <c r="AF109" s="273"/>
      <c r="AG109" s="273"/>
      <c r="AH109" s="273"/>
      <c r="AI109" s="273"/>
      <c r="AJ109" s="273"/>
      <c r="AK109" s="273"/>
    </row>
    <row r="110" spans="1:37" s="274" customFormat="1" ht="11.65" customHeight="1" x14ac:dyDescent="0.2">
      <c r="A110" s="293" t="s">
        <v>193</v>
      </c>
      <c r="B110" s="422"/>
      <c r="C110" s="422"/>
      <c r="D110" s="422"/>
      <c r="E110" s="422"/>
      <c r="F110" s="422"/>
      <c r="G110" s="422"/>
      <c r="H110" s="422"/>
      <c r="I110" s="422"/>
      <c r="J110" s="422"/>
      <c r="K110" s="422"/>
      <c r="L110" s="422"/>
      <c r="M110" s="422"/>
      <c r="N110" s="422"/>
      <c r="O110" s="422"/>
      <c r="P110" s="422"/>
      <c r="U110" s="273"/>
      <c r="V110" s="273"/>
      <c r="W110" s="273"/>
      <c r="X110" s="273"/>
      <c r="Y110" s="273"/>
      <c r="Z110" s="273"/>
      <c r="AA110" s="273"/>
      <c r="AB110" s="273"/>
      <c r="AC110" s="273"/>
      <c r="AD110" s="273"/>
      <c r="AE110" s="273"/>
      <c r="AF110" s="273"/>
      <c r="AG110" s="273"/>
      <c r="AH110" s="273"/>
      <c r="AI110" s="273"/>
      <c r="AJ110" s="273"/>
      <c r="AK110" s="273"/>
    </row>
    <row r="111" spans="1:37" s="274" customFormat="1" ht="11.65" customHeight="1" x14ac:dyDescent="0.2">
      <c r="A111" s="294" t="s">
        <v>194</v>
      </c>
      <c r="B111" s="148"/>
      <c r="C111" s="148"/>
      <c r="D111" s="148"/>
      <c r="E111" s="148"/>
      <c r="F111" s="148"/>
      <c r="G111" s="148"/>
      <c r="H111" s="148"/>
      <c r="I111" s="148"/>
      <c r="J111" s="273"/>
      <c r="K111" s="273"/>
      <c r="L111" s="273"/>
      <c r="M111" s="273"/>
      <c r="N111" s="273"/>
      <c r="O111" s="273"/>
      <c r="P111" s="273"/>
      <c r="U111" s="273"/>
      <c r="V111" s="273"/>
      <c r="W111" s="273"/>
      <c r="X111" s="273"/>
      <c r="Y111" s="273"/>
      <c r="Z111" s="273"/>
      <c r="AA111" s="273"/>
      <c r="AB111" s="273"/>
      <c r="AC111" s="273"/>
      <c r="AD111" s="273"/>
      <c r="AE111" s="273"/>
      <c r="AF111" s="273"/>
      <c r="AG111" s="273"/>
      <c r="AH111" s="273"/>
      <c r="AI111" s="273"/>
      <c r="AJ111" s="273"/>
      <c r="AK111" s="273"/>
    </row>
    <row r="112" spans="1:37" s="274" customFormat="1" ht="11.65" customHeight="1" x14ac:dyDescent="0.2">
      <c r="A112" s="293"/>
      <c r="B112" s="148"/>
      <c r="C112" s="148"/>
      <c r="D112" s="148"/>
      <c r="E112" s="148"/>
      <c r="F112" s="148"/>
      <c r="G112" s="148"/>
      <c r="H112" s="148"/>
      <c r="I112" s="148"/>
      <c r="J112" s="273"/>
      <c r="K112" s="273"/>
      <c r="L112" s="273"/>
      <c r="M112" s="273"/>
      <c r="N112" s="273"/>
      <c r="O112" s="273"/>
      <c r="P112" s="273"/>
      <c r="U112" s="273"/>
      <c r="V112" s="273"/>
      <c r="W112" s="273"/>
      <c r="X112" s="273"/>
      <c r="Y112" s="273"/>
      <c r="Z112" s="273"/>
      <c r="AA112" s="273"/>
      <c r="AB112" s="273"/>
      <c r="AC112" s="273"/>
      <c r="AD112" s="273"/>
      <c r="AE112" s="273"/>
      <c r="AF112" s="273"/>
      <c r="AG112" s="273"/>
      <c r="AH112" s="273"/>
      <c r="AI112" s="273"/>
      <c r="AJ112" s="273"/>
      <c r="AK112" s="273"/>
    </row>
    <row r="113" spans="1:37" s="274" customFormat="1" ht="11.65" customHeight="1" x14ac:dyDescent="0.15">
      <c r="A113" s="293" t="s">
        <v>195</v>
      </c>
      <c r="B113" s="20"/>
      <c r="C113" s="20"/>
      <c r="D113" s="20"/>
      <c r="E113" s="20"/>
      <c r="F113" s="20"/>
      <c r="G113" s="20"/>
      <c r="H113" s="148"/>
      <c r="I113" s="148"/>
      <c r="J113" s="273"/>
      <c r="K113" s="273"/>
      <c r="L113" s="273"/>
      <c r="M113" s="273"/>
      <c r="N113" s="273"/>
      <c r="O113" s="273"/>
      <c r="P113" s="273"/>
      <c r="U113" s="273"/>
      <c r="V113" s="273"/>
      <c r="W113" s="273"/>
      <c r="X113" s="273"/>
      <c r="Y113" s="273"/>
      <c r="Z113" s="273"/>
      <c r="AA113" s="273"/>
      <c r="AB113" s="273"/>
      <c r="AC113" s="273"/>
      <c r="AD113" s="273"/>
      <c r="AE113" s="273"/>
      <c r="AF113" s="273"/>
      <c r="AG113" s="273"/>
      <c r="AH113" s="273"/>
      <c r="AI113" s="273"/>
      <c r="AJ113" s="273"/>
      <c r="AK113" s="273"/>
    </row>
    <row r="114" spans="1:37" s="274" customFormat="1" ht="11.65" customHeight="1" x14ac:dyDescent="0.15">
      <c r="A114" s="293" t="s">
        <v>188</v>
      </c>
      <c r="B114" s="20"/>
      <c r="C114" s="20"/>
      <c r="D114" s="20"/>
      <c r="E114" s="20"/>
      <c r="F114" s="20"/>
      <c r="G114" s="20"/>
      <c r="H114" s="148"/>
      <c r="I114" s="148"/>
      <c r="J114" s="273"/>
      <c r="K114" s="273"/>
      <c r="L114" s="273"/>
      <c r="M114" s="273"/>
      <c r="N114" s="273"/>
      <c r="O114" s="273"/>
      <c r="P114" s="273"/>
      <c r="U114" s="273"/>
      <c r="V114" s="273"/>
      <c r="W114" s="273"/>
      <c r="X114" s="273"/>
      <c r="Y114" s="273"/>
      <c r="Z114" s="273"/>
      <c r="AA114" s="273"/>
      <c r="AB114" s="273"/>
      <c r="AC114" s="273"/>
      <c r="AD114" s="273"/>
      <c r="AE114" s="273"/>
      <c r="AF114" s="273"/>
      <c r="AG114" s="273"/>
      <c r="AH114" s="273"/>
      <c r="AI114" s="273"/>
      <c r="AJ114" s="273"/>
      <c r="AK114" s="273"/>
    </row>
    <row r="115" spans="1:37" s="274" customFormat="1" ht="11.65" customHeight="1" x14ac:dyDescent="0.15">
      <c r="A115" s="293"/>
      <c r="B115" s="20"/>
      <c r="C115" s="20"/>
      <c r="D115" s="20"/>
      <c r="E115" s="20"/>
      <c r="F115" s="20"/>
      <c r="G115" s="20"/>
      <c r="H115" s="148"/>
      <c r="I115" s="148"/>
      <c r="J115" s="273"/>
      <c r="K115" s="273"/>
      <c r="L115" s="273"/>
      <c r="M115" s="273"/>
      <c r="N115" s="273"/>
      <c r="O115" s="273"/>
      <c r="P115" s="273"/>
      <c r="U115" s="273"/>
      <c r="V115" s="273"/>
      <c r="W115" s="273"/>
      <c r="X115" s="273"/>
      <c r="Y115" s="273"/>
      <c r="Z115" s="273"/>
      <c r="AA115" s="273"/>
      <c r="AB115" s="273"/>
      <c r="AC115" s="273"/>
      <c r="AD115" s="273"/>
      <c r="AE115" s="273"/>
      <c r="AF115" s="273"/>
      <c r="AG115" s="273"/>
      <c r="AH115" s="273"/>
      <c r="AI115" s="273"/>
      <c r="AJ115" s="273"/>
      <c r="AK115" s="273"/>
    </row>
    <row r="116" spans="1:37" s="147" customFormat="1" ht="11.65" customHeight="1" x14ac:dyDescent="0.15">
      <c r="A116" s="295" t="s">
        <v>187</v>
      </c>
      <c r="B116" s="226"/>
      <c r="C116" s="226"/>
      <c r="D116" s="226"/>
      <c r="E116" s="226"/>
      <c r="F116" s="226"/>
      <c r="G116" s="226"/>
      <c r="H116" s="226"/>
      <c r="I116" s="226"/>
      <c r="J116" s="226"/>
      <c r="K116" s="226"/>
      <c r="L116" s="226"/>
      <c r="M116" s="226"/>
      <c r="N116" s="226"/>
      <c r="O116" s="226"/>
      <c r="P116" s="226"/>
      <c r="U116" s="148"/>
      <c r="V116" s="148"/>
      <c r="W116" s="148"/>
      <c r="X116" s="148"/>
      <c r="Y116" s="148"/>
      <c r="Z116" s="148"/>
      <c r="AA116" s="148"/>
      <c r="AB116" s="148"/>
      <c r="AC116" s="148"/>
      <c r="AD116" s="148"/>
      <c r="AE116" s="148"/>
      <c r="AF116" s="148"/>
      <c r="AG116" s="148"/>
      <c r="AH116" s="148"/>
      <c r="AI116" s="148"/>
      <c r="AJ116" s="148"/>
      <c r="AK116" s="148"/>
    </row>
    <row r="117" spans="1:37" s="147" customFormat="1" ht="11.65" customHeight="1" x14ac:dyDescent="0.15">
      <c r="A117" s="293" t="s">
        <v>451</v>
      </c>
      <c r="B117" s="226"/>
      <c r="C117" s="226"/>
      <c r="D117" s="226"/>
      <c r="E117" s="226"/>
      <c r="F117" s="226"/>
      <c r="G117" s="226"/>
      <c r="H117" s="226"/>
      <c r="I117" s="226"/>
      <c r="J117" s="226"/>
      <c r="K117" s="226"/>
      <c r="L117" s="226"/>
      <c r="M117" s="226"/>
      <c r="N117" s="226"/>
      <c r="O117" s="226"/>
      <c r="P117" s="226"/>
      <c r="U117" s="148"/>
      <c r="V117" s="148"/>
      <c r="W117" s="148"/>
      <c r="X117" s="148"/>
      <c r="Y117" s="148"/>
      <c r="Z117" s="148"/>
      <c r="AA117" s="148"/>
      <c r="AB117" s="148"/>
      <c r="AC117" s="148"/>
      <c r="AD117" s="148"/>
      <c r="AE117" s="148"/>
      <c r="AF117" s="148"/>
      <c r="AG117" s="148"/>
      <c r="AH117" s="148"/>
      <c r="AI117" s="148"/>
      <c r="AJ117" s="148"/>
      <c r="AK117" s="148"/>
    </row>
    <row r="118" spans="1:37" ht="11.65" customHeight="1" x14ac:dyDescent="0.15">
      <c r="A118" s="20"/>
      <c r="B118" s="20"/>
      <c r="C118" s="20"/>
      <c r="D118" s="20"/>
      <c r="E118" s="20"/>
      <c r="F118" s="20"/>
      <c r="G118" s="20"/>
      <c r="H118" s="20"/>
      <c r="I118" s="20"/>
      <c r="J118" s="20"/>
      <c r="K118" s="20"/>
      <c r="L118" s="20"/>
      <c r="M118" s="20"/>
      <c r="N118" s="20"/>
      <c r="O118" s="20"/>
      <c r="P118" s="20"/>
    </row>
    <row r="119" spans="1:37" s="153" customFormat="1" ht="14.25" x14ac:dyDescent="0.2">
      <c r="A119" s="166" t="s">
        <v>53</v>
      </c>
      <c r="B119" s="167"/>
      <c r="C119" s="167"/>
      <c r="D119" s="167"/>
      <c r="E119" s="167"/>
      <c r="F119" s="167"/>
      <c r="G119" s="167"/>
      <c r="H119" s="167"/>
      <c r="I119" s="167"/>
      <c r="J119" s="167"/>
      <c r="K119" s="167"/>
      <c r="L119" s="167"/>
      <c r="M119" s="167"/>
      <c r="N119" s="167"/>
      <c r="O119" s="167"/>
      <c r="P119" s="167"/>
      <c r="U119" s="154"/>
      <c r="V119" s="154"/>
      <c r="W119" s="154"/>
      <c r="X119" s="154"/>
      <c r="Y119" s="154"/>
      <c r="Z119" s="154"/>
      <c r="AA119" s="154"/>
      <c r="AB119" s="154"/>
      <c r="AC119" s="154"/>
      <c r="AD119" s="154"/>
      <c r="AE119" s="154"/>
      <c r="AF119" s="154"/>
      <c r="AG119" s="154"/>
      <c r="AH119" s="154"/>
      <c r="AI119" s="154"/>
      <c r="AJ119" s="154"/>
      <c r="AK119" s="154"/>
    </row>
    <row r="120" spans="1:37" s="147" customFormat="1" ht="11.65" customHeight="1" x14ac:dyDescent="0.2">
      <c r="A120" s="275" t="s">
        <v>55</v>
      </c>
      <c r="B120" s="275"/>
      <c r="C120" s="275"/>
      <c r="D120" s="275"/>
      <c r="E120" s="275"/>
      <c r="F120" s="275"/>
      <c r="G120" s="275"/>
      <c r="H120" s="275"/>
      <c r="I120" s="275"/>
      <c r="J120" s="275"/>
      <c r="K120" s="275"/>
      <c r="L120" s="275"/>
      <c r="M120" s="275"/>
      <c r="N120" s="275"/>
      <c r="O120" s="275"/>
      <c r="P120" s="275"/>
      <c r="U120" s="148"/>
      <c r="V120" s="148"/>
      <c r="W120" s="148"/>
      <c r="X120" s="148"/>
      <c r="Y120" s="148"/>
      <c r="Z120" s="148"/>
      <c r="AA120" s="148"/>
      <c r="AB120" s="148"/>
      <c r="AC120" s="148"/>
      <c r="AD120" s="148"/>
      <c r="AE120" s="148"/>
      <c r="AF120" s="148"/>
      <c r="AG120" s="148"/>
      <c r="AH120" s="148"/>
      <c r="AI120" s="148"/>
      <c r="AJ120" s="148"/>
      <c r="AK120" s="148"/>
    </row>
    <row r="121" spans="1:37" ht="11.65" customHeight="1" x14ac:dyDescent="0.2">
      <c r="A121" s="275" t="s">
        <v>566</v>
      </c>
      <c r="B121" s="275"/>
      <c r="C121" s="275"/>
      <c r="D121" s="275"/>
      <c r="E121" s="275"/>
      <c r="F121" s="147"/>
      <c r="G121" s="295" t="s">
        <v>567</v>
      </c>
      <c r="H121" s="147"/>
      <c r="I121" s="147"/>
      <c r="J121" s="147"/>
      <c r="K121" s="275"/>
      <c r="L121" s="275"/>
      <c r="M121" s="275"/>
      <c r="N121" s="275"/>
      <c r="O121" s="275"/>
      <c r="P121" s="275"/>
    </row>
    <row r="122" spans="1:37" ht="11.65" customHeight="1" x14ac:dyDescent="0.2">
      <c r="A122" s="275" t="s">
        <v>56</v>
      </c>
      <c r="B122" s="275"/>
      <c r="C122" s="275"/>
      <c r="D122" s="275"/>
      <c r="E122" s="275"/>
      <c r="F122" s="275"/>
      <c r="G122" s="925" t="s">
        <v>54</v>
      </c>
      <c r="H122" s="421"/>
      <c r="I122" s="421"/>
      <c r="J122" s="421"/>
      <c r="K122" s="421"/>
      <c r="L122" s="421"/>
      <c r="M122" s="421"/>
      <c r="N122" s="421"/>
      <c r="O122" s="421"/>
      <c r="P122" s="421"/>
    </row>
    <row r="123" spans="1:37" ht="11.65" customHeight="1" x14ac:dyDescent="0.2">
      <c r="A123" s="275" t="s">
        <v>118</v>
      </c>
      <c r="B123" s="275"/>
      <c r="C123" s="275"/>
      <c r="D123" s="275"/>
      <c r="E123" s="275"/>
      <c r="F123" s="275"/>
      <c r="G123" s="925" t="s">
        <v>119</v>
      </c>
      <c r="H123" s="421"/>
      <c r="I123" s="421"/>
      <c r="J123" s="421"/>
      <c r="K123" s="421"/>
      <c r="L123" s="421"/>
      <c r="M123" s="421"/>
      <c r="N123" s="421"/>
      <c r="O123" s="421"/>
      <c r="P123" s="421"/>
      <c r="Q123" s="147"/>
    </row>
    <row r="124" spans="1:37" ht="11.65" customHeight="1" x14ac:dyDescent="0.15">
      <c r="A124" s="275" t="s">
        <v>169</v>
      </c>
      <c r="B124" s="275"/>
      <c r="C124" s="275"/>
      <c r="D124" s="275"/>
      <c r="E124" s="275"/>
      <c r="F124" s="275"/>
      <c r="G124" s="926" t="s">
        <v>170</v>
      </c>
      <c r="H124" s="275"/>
      <c r="I124" s="275"/>
      <c r="J124" s="275"/>
      <c r="K124" s="275"/>
      <c r="L124" s="275"/>
      <c r="M124" s="275"/>
      <c r="N124" s="275"/>
      <c r="O124" s="275"/>
      <c r="P124" s="275"/>
      <c r="Q124" s="147"/>
    </row>
    <row r="125" spans="1:37" ht="11.65" customHeight="1" x14ac:dyDescent="0.2">
      <c r="A125" s="275" t="s">
        <v>171</v>
      </c>
      <c r="B125" s="275"/>
      <c r="C125" s="275"/>
      <c r="D125" s="275"/>
      <c r="E125" s="275"/>
      <c r="F125" s="275"/>
      <c r="G125" s="925" t="s">
        <v>568</v>
      </c>
      <c r="H125" s="421"/>
      <c r="I125" s="421"/>
      <c r="J125" s="421"/>
      <c r="K125" s="421"/>
      <c r="L125" s="421"/>
      <c r="M125" s="421"/>
      <c r="N125" s="421"/>
      <c r="O125" s="421"/>
      <c r="P125" s="421"/>
      <c r="Q125" s="147"/>
    </row>
    <row r="126" spans="1:37" ht="11.65" customHeight="1" x14ac:dyDescent="0.2">
      <c r="A126" s="276"/>
      <c r="B126" s="276"/>
      <c r="C126" s="276"/>
      <c r="D126" s="276"/>
      <c r="E126" s="276"/>
      <c r="F126" s="276"/>
      <c r="G126" s="275"/>
      <c r="H126" s="275"/>
      <c r="I126" s="275"/>
      <c r="J126" s="275"/>
      <c r="K126" s="275"/>
      <c r="L126" s="275"/>
      <c r="M126" s="275"/>
      <c r="N126" s="275"/>
      <c r="O126" s="275"/>
      <c r="P126" s="275"/>
      <c r="Q126" s="147"/>
    </row>
    <row r="127" spans="1:37" ht="14.25" x14ac:dyDescent="0.2">
      <c r="A127" s="166"/>
      <c r="B127" s="167"/>
      <c r="C127" s="167"/>
      <c r="D127" s="167"/>
      <c r="E127" s="167"/>
      <c r="F127" s="167"/>
      <c r="G127" s="167"/>
      <c r="H127" s="167"/>
      <c r="I127" s="167"/>
      <c r="J127" s="167"/>
      <c r="K127" s="167"/>
      <c r="L127" s="167"/>
      <c r="M127" s="167"/>
      <c r="N127" s="167"/>
      <c r="O127" s="167"/>
      <c r="P127" s="167"/>
      <c r="Q127" s="147"/>
    </row>
  </sheetData>
  <phoneticPr fontId="6" type="noConversion"/>
  <hyperlinks>
    <hyperlink ref="G122" r:id="rId1" xr:uid="{00000000-0004-0000-0000-000000000000}"/>
    <hyperlink ref="G124" r:id="rId2" xr:uid="{00000000-0004-0000-0000-000001000000}"/>
    <hyperlink ref="A116" r:id="rId3" display="https://www.rvo.nl/onderwerpen/subsidiespelregels/ezk/financiering" xr:uid="{00000000-0004-0000-0000-000002000000}"/>
    <hyperlink ref="G121" r:id="rId4" display="http://www.rvo.nl/wis" xr:uid="{59547464-BF74-4640-8412-B972A980702B}"/>
    <hyperlink ref="G123" r:id="rId5" xr:uid="{260D96CB-CBFA-4A67-AF4E-6794B52646A3}"/>
    <hyperlink ref="G125" r:id="rId6" xr:uid="{70AA4147-BD26-40DE-B9E5-E70D8704AEBE}"/>
  </hyperlinks>
  <pageMargins left="0.25" right="0.25" top="0.75" bottom="0.75" header="0.3" footer="0.3"/>
  <pageSetup paperSize="9" scale="50" orientation="portrait"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E2961-9D2B-492A-8D29-59FC70C0838B}">
  <sheetPr codeName="Blad1">
    <tabColor rgb="FF00B0F0"/>
  </sheetPr>
  <dimension ref="A1:AR789"/>
  <sheetViews>
    <sheetView zoomScale="85" zoomScaleNormal="85" workbookViewId="0">
      <selection activeCell="O44" sqref="O44"/>
    </sheetView>
  </sheetViews>
  <sheetFormatPr defaultColWidth="0" defaultRowHeight="15" zeroHeight="1" x14ac:dyDescent="0.2"/>
  <cols>
    <col min="1" max="1" width="1.5703125" style="413" customWidth="1"/>
    <col min="2" max="4" width="1.5703125" style="411" customWidth="1"/>
    <col min="5" max="5" width="94.5703125" style="411" customWidth="1"/>
    <col min="6" max="6" width="14.5703125" style="411" bestFit="1" customWidth="1"/>
    <col min="7" max="7" width="9.28515625" style="411" customWidth="1"/>
    <col min="8" max="8" width="15.28515625" style="411" customWidth="1"/>
    <col min="9" max="12" width="3.28515625" style="411" customWidth="1"/>
    <col min="13" max="43" width="14.5703125" style="411" customWidth="1"/>
    <col min="44" max="44" width="8.7109375" style="411" customWidth="1"/>
    <col min="45" max="16384" width="0" style="411" hidden="1"/>
  </cols>
  <sheetData>
    <row r="1" spans="1:44" x14ac:dyDescent="0.2">
      <c r="A1" s="406"/>
      <c r="B1" s="407"/>
      <c r="C1" s="407"/>
      <c r="D1" s="407"/>
      <c r="E1" s="408"/>
      <c r="F1" s="408"/>
      <c r="G1" s="408"/>
      <c r="H1" s="408"/>
      <c r="I1" s="408"/>
      <c r="J1" s="408"/>
      <c r="K1" s="407"/>
      <c r="L1" s="409"/>
      <c r="M1" s="408"/>
      <c r="N1" s="408"/>
      <c r="O1" s="408"/>
      <c r="P1" s="408"/>
      <c r="Q1" s="408"/>
      <c r="R1" s="410"/>
      <c r="S1" s="408"/>
      <c r="T1" s="408"/>
      <c r="U1" s="408"/>
      <c r="V1" s="408"/>
      <c r="W1" s="408"/>
      <c r="X1" s="408"/>
      <c r="Y1" s="408"/>
      <c r="Z1" s="408"/>
      <c r="AA1" s="408"/>
      <c r="AB1" s="408"/>
      <c r="AC1" s="408"/>
      <c r="AD1" s="408"/>
      <c r="AE1" s="408"/>
      <c r="AF1" s="407"/>
    </row>
    <row r="2" spans="1:44" s="328" customFormat="1" ht="23.65" customHeight="1" x14ac:dyDescent="0.2">
      <c r="A2" s="368" t="s">
        <v>374</v>
      </c>
      <c r="B2" s="367"/>
      <c r="C2" s="367"/>
      <c r="D2" s="367"/>
      <c r="E2" s="330"/>
      <c r="F2" s="330"/>
      <c r="G2" s="330"/>
      <c r="H2" s="330"/>
      <c r="I2" s="330"/>
      <c r="J2" s="330"/>
      <c r="K2" s="330"/>
      <c r="L2" s="329"/>
      <c r="M2" s="330"/>
      <c r="N2" s="330"/>
      <c r="O2" s="330"/>
      <c r="P2" s="330"/>
      <c r="Q2" s="330"/>
      <c r="R2" s="330"/>
      <c r="S2" s="330"/>
      <c r="T2" s="330"/>
      <c r="U2" s="330"/>
      <c r="V2" s="330"/>
      <c r="W2" s="330"/>
      <c r="X2" s="330"/>
      <c r="Y2" s="330"/>
      <c r="Z2" s="330"/>
      <c r="AA2" s="330"/>
      <c r="AB2" s="330"/>
      <c r="AC2" s="330"/>
      <c r="AD2" s="330"/>
      <c r="AE2" s="330"/>
      <c r="AF2" s="330"/>
    </row>
    <row r="3" spans="1:44" x14ac:dyDescent="0.2">
      <c r="A3" s="406"/>
      <c r="B3" s="327" t="s">
        <v>267</v>
      </c>
      <c r="C3" s="407"/>
      <c r="D3" s="407"/>
      <c r="E3" s="407"/>
      <c r="F3" s="407"/>
      <c r="G3" s="407"/>
      <c r="H3" s="407"/>
      <c r="I3" s="407"/>
      <c r="J3" s="407"/>
      <c r="K3" s="407"/>
      <c r="L3" s="412"/>
      <c r="M3" s="407"/>
      <c r="N3" s="407"/>
      <c r="O3" s="407"/>
      <c r="P3" s="407"/>
      <c r="Q3" s="407"/>
      <c r="R3" s="407"/>
      <c r="S3" s="407"/>
      <c r="T3" s="407"/>
      <c r="U3" s="407"/>
      <c r="V3" s="407"/>
      <c r="W3" s="407"/>
      <c r="X3" s="407"/>
      <c r="Y3" s="407"/>
      <c r="Z3" s="407"/>
      <c r="AA3" s="407"/>
      <c r="AB3" s="407"/>
      <c r="AC3" s="407"/>
      <c r="AD3" s="407"/>
      <c r="AE3" s="407"/>
      <c r="AF3" s="407"/>
    </row>
    <row r="4" spans="1:44" s="332" customFormat="1" x14ac:dyDescent="0.2">
      <c r="A4" s="597" t="s">
        <v>373</v>
      </c>
      <c r="B4" s="597"/>
      <c r="C4" s="597"/>
      <c r="D4" s="597"/>
      <c r="E4" s="597"/>
      <c r="F4" s="597"/>
      <c r="G4" s="597"/>
      <c r="H4" s="597"/>
      <c r="I4" s="597"/>
      <c r="J4" s="597"/>
      <c r="K4" s="597"/>
      <c r="L4" s="598"/>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row>
    <row r="5" spans="1:44" s="366" customFormat="1" x14ac:dyDescent="0.2">
      <c r="A5" s="358"/>
      <c r="B5" s="358"/>
      <c r="C5" s="358"/>
      <c r="D5" s="358"/>
      <c r="E5" s="358" t="s">
        <v>372</v>
      </c>
      <c r="F5" s="358"/>
      <c r="G5" s="358"/>
      <c r="H5" s="358"/>
      <c r="I5" s="358"/>
      <c r="J5" s="358"/>
      <c r="K5" s="358"/>
      <c r="L5" s="358"/>
      <c r="M5" s="575">
        <f>'ORT uitgangspunten'!P22</f>
        <v>1900</v>
      </c>
      <c r="N5" s="575">
        <f>'ORT uitgangspunten'!Q22</f>
        <v>1901</v>
      </c>
      <c r="O5" s="575">
        <f>'ORT uitgangspunten'!R22</f>
        <v>1902</v>
      </c>
      <c r="P5" s="575">
        <f>'ORT uitgangspunten'!S22</f>
        <v>1903</v>
      </c>
      <c r="Q5" s="575">
        <f>'ORT uitgangspunten'!T22</f>
        <v>1904</v>
      </c>
      <c r="R5" s="575">
        <f>'ORT uitgangspunten'!U22</f>
        <v>1905</v>
      </c>
      <c r="S5" s="575">
        <f>'ORT uitgangspunten'!V22</f>
        <v>1906</v>
      </c>
      <c r="T5" s="575">
        <f>'ORT uitgangspunten'!W22</f>
        <v>1907</v>
      </c>
      <c r="U5" s="575">
        <f>'ORT uitgangspunten'!X22</f>
        <v>1908</v>
      </c>
      <c r="V5" s="575">
        <f>'ORT uitgangspunten'!Y22</f>
        <v>1909</v>
      </c>
      <c r="W5" s="575">
        <f>'ORT uitgangspunten'!Z22</f>
        <v>1910</v>
      </c>
      <c r="X5" s="575">
        <f>'ORT uitgangspunten'!AA22</f>
        <v>1911</v>
      </c>
      <c r="Y5" s="575">
        <f>'ORT uitgangspunten'!AB22</f>
        <v>1912</v>
      </c>
      <c r="Z5" s="575">
        <f>'ORT uitgangspunten'!AC22</f>
        <v>1913</v>
      </c>
      <c r="AA5" s="575">
        <f>'ORT uitgangspunten'!AD22</f>
        <v>1914</v>
      </c>
      <c r="AB5" s="575">
        <f>'ORT uitgangspunten'!AE22</f>
        <v>1915</v>
      </c>
      <c r="AC5" s="575">
        <f>'ORT uitgangspunten'!AF22</f>
        <v>1916</v>
      </c>
      <c r="AD5" s="575">
        <f>'ORT uitgangspunten'!AG22</f>
        <v>1917</v>
      </c>
      <c r="AE5" s="575">
        <f>'ORT uitgangspunten'!AH22</f>
        <v>1918</v>
      </c>
      <c r="AF5" s="575">
        <f>'ORT uitgangspunten'!AI22</f>
        <v>1919</v>
      </c>
      <c r="AG5" s="575">
        <f>'ORT uitgangspunten'!AJ22</f>
        <v>1920</v>
      </c>
      <c r="AH5" s="575">
        <f>'ORT uitgangspunten'!AK22</f>
        <v>1921</v>
      </c>
      <c r="AI5" s="575">
        <f>'ORT uitgangspunten'!AL22</f>
        <v>1922</v>
      </c>
      <c r="AJ5" s="575">
        <f>'ORT uitgangspunten'!AM22</f>
        <v>1923</v>
      </c>
      <c r="AK5" s="575">
        <f>'ORT uitgangspunten'!AN22</f>
        <v>1924</v>
      </c>
      <c r="AL5" s="575">
        <f>'ORT uitgangspunten'!AO22</f>
        <v>1925</v>
      </c>
      <c r="AM5" s="575">
        <f>'ORT uitgangspunten'!AP22</f>
        <v>1926</v>
      </c>
      <c r="AN5" s="575">
        <f>'ORT uitgangspunten'!AQ22</f>
        <v>1927</v>
      </c>
      <c r="AO5" s="575">
        <f>'ORT uitgangspunten'!AR22</f>
        <v>1928</v>
      </c>
      <c r="AP5" s="575">
        <f>'ORT uitgangspunten'!AS22</f>
        <v>1929</v>
      </c>
      <c r="AQ5" s="575">
        <f>'ORT uitgangspunten'!AT22</f>
        <v>1930</v>
      </c>
    </row>
    <row r="6" spans="1:44" s="365" customFormat="1" x14ac:dyDescent="0.2">
      <c r="A6" s="358"/>
      <c r="B6" s="358"/>
      <c r="C6" s="358"/>
      <c r="D6" s="358"/>
      <c r="E6" s="358" t="s">
        <v>371</v>
      </c>
      <c r="F6" s="358"/>
      <c r="G6" s="358"/>
      <c r="H6" s="358"/>
      <c r="I6" s="358"/>
      <c r="J6" s="358"/>
      <c r="K6" s="358"/>
      <c r="L6" s="358"/>
      <c r="M6" s="576">
        <f>'ORT uitgangspunten'!P80</f>
        <v>1</v>
      </c>
      <c r="N6" s="576">
        <f>'ORT uitgangspunten'!Q80</f>
        <v>2</v>
      </c>
      <c r="O6" s="576">
        <f>'ORT uitgangspunten'!R80</f>
        <v>3</v>
      </c>
      <c r="P6" s="576">
        <f>'ORT uitgangspunten'!S80</f>
        <v>4</v>
      </c>
      <c r="Q6" s="576">
        <f>'ORT uitgangspunten'!T80</f>
        <v>5</v>
      </c>
      <c r="R6" s="576">
        <f>'ORT uitgangspunten'!U80</f>
        <v>6</v>
      </c>
      <c r="S6" s="576">
        <f>'ORT uitgangspunten'!V80</f>
        <v>7</v>
      </c>
      <c r="T6" s="576">
        <f>'ORT uitgangspunten'!W80</f>
        <v>8</v>
      </c>
      <c r="U6" s="576">
        <f>'ORT uitgangspunten'!X80</f>
        <v>9</v>
      </c>
      <c r="V6" s="576">
        <f>'ORT uitgangspunten'!Y80</f>
        <v>10</v>
      </c>
      <c r="W6" s="576">
        <f>'ORT uitgangspunten'!Z80</f>
        <v>11</v>
      </c>
      <c r="X6" s="576">
        <f>'ORT uitgangspunten'!AA80</f>
        <v>12</v>
      </c>
      <c r="Y6" s="576">
        <f>'ORT uitgangspunten'!AB80</f>
        <v>13</v>
      </c>
      <c r="Z6" s="576">
        <f>'ORT uitgangspunten'!AC80</f>
        <v>14</v>
      </c>
      <c r="AA6" s="576">
        <f>'ORT uitgangspunten'!AD80</f>
        <v>15</v>
      </c>
      <c r="AB6" s="576">
        <f>'ORT uitgangspunten'!AE80</f>
        <v>16</v>
      </c>
      <c r="AC6" s="576">
        <f>'ORT uitgangspunten'!AF80</f>
        <v>17</v>
      </c>
      <c r="AD6" s="576">
        <f>'ORT uitgangspunten'!AG80</f>
        <v>18</v>
      </c>
      <c r="AE6" s="576">
        <f>'ORT uitgangspunten'!AH80</f>
        <v>19</v>
      </c>
      <c r="AF6" s="576">
        <f>'ORT uitgangspunten'!AI80</f>
        <v>20</v>
      </c>
      <c r="AG6" s="576">
        <f>'ORT uitgangspunten'!AJ80</f>
        <v>21</v>
      </c>
      <c r="AH6" s="576">
        <f>'ORT uitgangspunten'!AK80</f>
        <v>22</v>
      </c>
      <c r="AI6" s="576">
        <f>'ORT uitgangspunten'!AL80</f>
        <v>23</v>
      </c>
      <c r="AJ6" s="576">
        <f>'ORT uitgangspunten'!AM80</f>
        <v>24</v>
      </c>
      <c r="AK6" s="576">
        <f>'ORT uitgangspunten'!AN80</f>
        <v>25</v>
      </c>
      <c r="AL6" s="576">
        <f>'ORT uitgangspunten'!AO80</f>
        <v>26</v>
      </c>
      <c r="AM6" s="576">
        <f>'ORT uitgangspunten'!AP80</f>
        <v>27</v>
      </c>
      <c r="AN6" s="576">
        <f>'ORT uitgangspunten'!AQ80</f>
        <v>28</v>
      </c>
      <c r="AO6" s="576">
        <f>'ORT uitgangspunten'!AR80</f>
        <v>29</v>
      </c>
      <c r="AP6" s="576">
        <f>'ORT uitgangspunten'!AS80</f>
        <v>30</v>
      </c>
      <c r="AQ6" s="576">
        <f>'ORT uitgangspunten'!AT80</f>
        <v>31</v>
      </c>
    </row>
    <row r="7" spans="1:44" x14ac:dyDescent="0.2"/>
    <row r="8" spans="1:44" x14ac:dyDescent="0.2">
      <c r="A8" s="342"/>
      <c r="B8" s="470" t="s">
        <v>370</v>
      </c>
      <c r="C8" s="471"/>
      <c r="D8" s="471"/>
      <c r="E8" s="471"/>
      <c r="F8" s="471"/>
      <c r="G8" s="471"/>
      <c r="H8" s="471"/>
      <c r="I8" s="471"/>
      <c r="J8" s="471"/>
      <c r="K8" s="471"/>
      <c r="L8" s="471"/>
      <c r="M8"/>
      <c r="N8"/>
      <c r="O8"/>
      <c r="P8"/>
      <c r="Q8"/>
      <c r="R8"/>
    </row>
    <row r="9" spans="1:44" s="337" customFormat="1" x14ac:dyDescent="0.2">
      <c r="A9" s="417"/>
      <c r="B9" s="364"/>
      <c r="E9" s="337" t="str">
        <f>'ORT uitgangspunten'!E82</f>
        <v>Indexatie OPEX</v>
      </c>
      <c r="F9" s="341">
        <f>'ORT uitgangspunten'!G82</f>
        <v>0.02</v>
      </c>
      <c r="M9" s="337">
        <f>'ORT uitgangspunten'!P82</f>
        <v>1</v>
      </c>
      <c r="N9" s="337">
        <f>'ORT uitgangspunten'!Q82</f>
        <v>1.02</v>
      </c>
      <c r="O9" s="337">
        <f>'ORT uitgangspunten'!R82</f>
        <v>1.0404</v>
      </c>
      <c r="P9" s="337">
        <f>'ORT uitgangspunten'!S82</f>
        <v>1.0612079999999999</v>
      </c>
      <c r="Q9" s="337">
        <f>'ORT uitgangspunten'!T82</f>
        <v>1.08243216</v>
      </c>
      <c r="R9" s="337">
        <f>'ORT uitgangspunten'!U82</f>
        <v>1.1040808032</v>
      </c>
      <c r="S9" s="337">
        <f>'ORT uitgangspunten'!V82</f>
        <v>1.1261624192640001</v>
      </c>
      <c r="T9" s="337">
        <f>'ORT uitgangspunten'!W82</f>
        <v>1.1486856676492798</v>
      </c>
      <c r="U9" s="337">
        <f>'ORT uitgangspunten'!X82</f>
        <v>1.1716593810022655</v>
      </c>
      <c r="V9" s="337">
        <f>'ORT uitgangspunten'!Y82</f>
        <v>1.1950925686223108</v>
      </c>
      <c r="W9" s="337">
        <f>'ORT uitgangspunten'!Z82</f>
        <v>1.2189944199947571</v>
      </c>
      <c r="X9" s="337">
        <f>'ORT uitgangspunten'!AA82</f>
        <v>1.243374308394652</v>
      </c>
      <c r="Y9" s="337">
        <f>'ORT uitgangspunten'!AB82</f>
        <v>1.2682417945625453</v>
      </c>
      <c r="Z9" s="337">
        <f>'ORT uitgangspunten'!AC82</f>
        <v>1.2936066304537961</v>
      </c>
      <c r="AA9" s="337">
        <f>'ORT uitgangspunten'!AD82</f>
        <v>1.3194787630628722</v>
      </c>
      <c r="AB9" s="337">
        <f>'ORT uitgangspunten'!AE82</f>
        <v>1.3458683383241292</v>
      </c>
      <c r="AC9" s="337">
        <f>'ORT uitgangspunten'!AF82</f>
        <v>1.372785705090612</v>
      </c>
      <c r="AD9" s="337">
        <f>'ORT uitgangspunten'!AG82</f>
        <v>1.4002414191924244</v>
      </c>
      <c r="AE9" s="337">
        <f>'ORT uitgangspunten'!AH82</f>
        <v>1.4282462475762727</v>
      </c>
      <c r="AF9" s="337">
        <f>'ORT uitgangspunten'!AI82</f>
        <v>1.4568111725277981</v>
      </c>
      <c r="AG9" s="337">
        <f>'ORT uitgangspunten'!AJ82</f>
        <v>1.4859473959783542</v>
      </c>
      <c r="AH9" s="337">
        <f>'ORT uitgangspunten'!AK82</f>
        <v>1.5156663438979212</v>
      </c>
      <c r="AI9" s="337">
        <f>'ORT uitgangspunten'!AL82</f>
        <v>1.5459796707758797</v>
      </c>
      <c r="AJ9" s="337">
        <f>'ORT uitgangspunten'!AM82</f>
        <v>1.576899264191397</v>
      </c>
      <c r="AK9" s="337">
        <f>'ORT uitgangspunten'!AN82</f>
        <v>1.608437249475225</v>
      </c>
      <c r="AL9" s="337">
        <f>'ORT uitgangspunten'!AO82</f>
        <v>1.6406059944647295</v>
      </c>
      <c r="AM9" s="337">
        <f>'ORT uitgangspunten'!AP82</f>
        <v>1.6734181143540243</v>
      </c>
      <c r="AN9" s="337">
        <f>'ORT uitgangspunten'!AQ82</f>
        <v>1.7068864766411045</v>
      </c>
      <c r="AO9" s="337">
        <f>'ORT uitgangspunten'!AR82</f>
        <v>1.7410242061739269</v>
      </c>
      <c r="AP9" s="337">
        <f>'ORT uitgangspunten'!AS82</f>
        <v>1.7758446902974052</v>
      </c>
      <c r="AQ9" s="337">
        <f>'ORT uitgangspunten'!AT82</f>
        <v>1.8113615841033535</v>
      </c>
    </row>
    <row r="10" spans="1:44" s="337" customFormat="1" x14ac:dyDescent="0.2">
      <c r="A10" s="417"/>
      <c r="B10" s="364"/>
      <c r="E10" s="337" t="str">
        <f>'ORT uitgangspunten'!E83</f>
        <v>Indexatie Capex</v>
      </c>
      <c r="F10" s="341">
        <f>'ORT uitgangspunten'!G83</f>
        <v>0</v>
      </c>
      <c r="M10" s="337">
        <f>'ORT uitgangspunten'!P83</f>
        <v>1</v>
      </c>
      <c r="N10" s="337">
        <f>'ORT uitgangspunten'!Q83</f>
        <v>1</v>
      </c>
      <c r="O10" s="337">
        <f>'ORT uitgangspunten'!R83</f>
        <v>1</v>
      </c>
      <c r="P10" s="337">
        <f>'ORT uitgangspunten'!S83</f>
        <v>1</v>
      </c>
      <c r="Q10" s="337">
        <f>'ORT uitgangspunten'!T83</f>
        <v>1</v>
      </c>
      <c r="R10" s="337">
        <f>'ORT uitgangspunten'!U83</f>
        <v>1</v>
      </c>
      <c r="S10" s="337">
        <f>'ORT uitgangspunten'!V83</f>
        <v>1</v>
      </c>
      <c r="T10" s="337">
        <f>'ORT uitgangspunten'!W83</f>
        <v>1</v>
      </c>
      <c r="U10" s="337">
        <f>'ORT uitgangspunten'!X83</f>
        <v>1</v>
      </c>
      <c r="V10" s="337">
        <f>'ORT uitgangspunten'!Y83</f>
        <v>1</v>
      </c>
      <c r="W10" s="337">
        <f>'ORT uitgangspunten'!Z83</f>
        <v>1</v>
      </c>
      <c r="X10" s="337">
        <f>'ORT uitgangspunten'!AA83</f>
        <v>1</v>
      </c>
      <c r="Y10" s="337">
        <f>'ORT uitgangspunten'!AB83</f>
        <v>1</v>
      </c>
      <c r="Z10" s="337">
        <f>'ORT uitgangspunten'!AC83</f>
        <v>1</v>
      </c>
      <c r="AA10" s="337">
        <f>'ORT uitgangspunten'!AD83</f>
        <v>1</v>
      </c>
      <c r="AB10" s="337">
        <f>'ORT uitgangspunten'!AE83</f>
        <v>1</v>
      </c>
      <c r="AC10" s="337">
        <f>'ORT uitgangspunten'!AF83</f>
        <v>1</v>
      </c>
      <c r="AD10" s="337">
        <f>'ORT uitgangspunten'!AG83</f>
        <v>1</v>
      </c>
      <c r="AE10" s="337">
        <f>'ORT uitgangspunten'!AH83</f>
        <v>1</v>
      </c>
      <c r="AF10" s="337">
        <f>'ORT uitgangspunten'!AI83</f>
        <v>1</v>
      </c>
      <c r="AG10" s="337">
        <f>'ORT uitgangspunten'!AJ83</f>
        <v>1</v>
      </c>
      <c r="AH10" s="337">
        <f>'ORT uitgangspunten'!AK83</f>
        <v>1</v>
      </c>
      <c r="AI10" s="337">
        <f>'ORT uitgangspunten'!AL83</f>
        <v>1</v>
      </c>
      <c r="AJ10" s="337">
        <f>'ORT uitgangspunten'!AM83</f>
        <v>1</v>
      </c>
      <c r="AK10" s="337">
        <f>'ORT uitgangspunten'!AN83</f>
        <v>1</v>
      </c>
      <c r="AL10" s="337">
        <f>'ORT uitgangspunten'!AO83</f>
        <v>1</v>
      </c>
      <c r="AM10" s="337">
        <f>'ORT uitgangspunten'!AP83</f>
        <v>1</v>
      </c>
      <c r="AN10" s="337">
        <f>'ORT uitgangspunten'!AQ83</f>
        <v>1</v>
      </c>
      <c r="AO10" s="337">
        <f>'ORT uitgangspunten'!AR83</f>
        <v>1</v>
      </c>
      <c r="AP10" s="337">
        <f>'ORT uitgangspunten'!AS83</f>
        <v>1</v>
      </c>
      <c r="AQ10" s="337">
        <f>'ORT uitgangspunten'!AT83</f>
        <v>1</v>
      </c>
    </row>
    <row r="11" spans="1:44" s="337" customFormat="1" x14ac:dyDescent="0.2">
      <c r="A11" s="417"/>
      <c r="B11" s="364"/>
      <c r="F11" s="341"/>
    </row>
    <row r="12" spans="1:44" x14ac:dyDescent="0.2">
      <c r="E12" s="411" t="str">
        <f>'ORT uitgangspunten'!E45</f>
        <v>Kosten aanleg primaire leidingnetten</v>
      </c>
      <c r="F12" s="411">
        <f>'ORT uitgangspunten'!G45</f>
        <v>0</v>
      </c>
    </row>
    <row r="13" spans="1:44" s="337" customFormat="1" x14ac:dyDescent="0.2">
      <c r="A13" s="417"/>
      <c r="B13" s="364"/>
      <c r="E13" s="337" t="str">
        <f>'ORT aansluitingen'!F79</f>
        <v>Econ. levensduur en fasering primaire netten</v>
      </c>
      <c r="F13" s="338">
        <f>'ORT aansluitingen'!G79</f>
        <v>30</v>
      </c>
      <c r="G13" s="337" t="s">
        <v>274</v>
      </c>
      <c r="M13" s="337">
        <f>'ORT aansluitingen'!U$79</f>
        <v>0</v>
      </c>
      <c r="N13" s="337">
        <f>'ORT aansluitingen'!V$79</f>
        <v>0</v>
      </c>
      <c r="O13" s="337">
        <f>'ORT aansluitingen'!W$79</f>
        <v>0</v>
      </c>
      <c r="P13" s="337">
        <f>'ORT aansluitingen'!X$79</f>
        <v>0</v>
      </c>
      <c r="Q13" s="337">
        <f>'ORT aansluitingen'!Y$79</f>
        <v>0</v>
      </c>
      <c r="R13" s="337">
        <f>'ORT aansluitingen'!Z$79</f>
        <v>0</v>
      </c>
      <c r="S13" s="337">
        <f>'ORT aansluitingen'!AA$79</f>
        <v>0</v>
      </c>
      <c r="T13" s="337">
        <f>'ORT aansluitingen'!AB$79</f>
        <v>0</v>
      </c>
      <c r="U13" s="337">
        <f>'ORT aansluitingen'!AC$79</f>
        <v>0</v>
      </c>
      <c r="V13" s="337">
        <f>'ORT aansluitingen'!AD$79</f>
        <v>0</v>
      </c>
      <c r="W13" s="337">
        <f>'ORT aansluitingen'!AE$79</f>
        <v>0</v>
      </c>
      <c r="X13" s="337">
        <f>'ORT aansluitingen'!AF$79</f>
        <v>0</v>
      </c>
      <c r="Y13" s="337">
        <f>'ORT aansluitingen'!AG$79</f>
        <v>0</v>
      </c>
      <c r="Z13" s="337">
        <f>'ORT aansluitingen'!AH$79</f>
        <v>0</v>
      </c>
      <c r="AA13" s="337">
        <f>'ORT aansluitingen'!AI$79</f>
        <v>0</v>
      </c>
      <c r="AB13" s="337">
        <f>'ORT aansluitingen'!AJ$79</f>
        <v>0</v>
      </c>
      <c r="AC13" s="337">
        <f>'ORT aansluitingen'!AK$79</f>
        <v>0</v>
      </c>
      <c r="AD13" s="337">
        <f>'ORT aansluitingen'!AL$79</f>
        <v>0</v>
      </c>
      <c r="AE13" s="337">
        <f>'ORT aansluitingen'!AM$79</f>
        <v>0</v>
      </c>
      <c r="AF13" s="337">
        <f>'ORT aansluitingen'!AN$79</f>
        <v>0</v>
      </c>
      <c r="AG13" s="337">
        <f>'ORT aansluitingen'!AO$79</f>
        <v>0</v>
      </c>
      <c r="AH13" s="337">
        <f>'ORT aansluitingen'!AP$79</f>
        <v>0</v>
      </c>
      <c r="AI13" s="337">
        <f>'ORT aansluitingen'!AQ$79</f>
        <v>0</v>
      </c>
      <c r="AJ13" s="337">
        <f>'ORT aansluitingen'!AR$79</f>
        <v>0</v>
      </c>
      <c r="AK13" s="337">
        <f>'ORT aansluitingen'!AS$79</f>
        <v>0</v>
      </c>
      <c r="AL13" s="337">
        <f>'ORT aansluitingen'!AT$79</f>
        <v>0</v>
      </c>
      <c r="AM13" s="337">
        <f>'ORT aansluitingen'!AU$79</f>
        <v>0</v>
      </c>
      <c r="AN13" s="337">
        <f>'ORT aansluitingen'!AV$79</f>
        <v>0</v>
      </c>
      <c r="AO13" s="337">
        <f>'ORT aansluitingen'!AW$79</f>
        <v>0</v>
      </c>
      <c r="AP13" s="337">
        <f>'ORT aansluitingen'!AX$79</f>
        <v>0</v>
      </c>
      <c r="AQ13" s="337">
        <f>'ORT aansluitingen'!AY$79</f>
        <v>0</v>
      </c>
    </row>
    <row r="14" spans="1:44" s="348" customFormat="1" x14ac:dyDescent="0.2">
      <c r="A14" s="346"/>
      <c r="E14" s="363" t="s">
        <v>369</v>
      </c>
      <c r="M14" s="362">
        <f>$F$12*M$10*M$13</f>
        <v>0</v>
      </c>
      <c r="N14" s="362">
        <f t="shared" ref="N14:AQ14" si="0">$F$12*N$10*N$13</f>
        <v>0</v>
      </c>
      <c r="O14" s="362">
        <f t="shared" si="0"/>
        <v>0</v>
      </c>
      <c r="P14" s="362">
        <f t="shared" si="0"/>
        <v>0</v>
      </c>
      <c r="Q14" s="362">
        <f t="shared" si="0"/>
        <v>0</v>
      </c>
      <c r="R14" s="362">
        <f t="shared" si="0"/>
        <v>0</v>
      </c>
      <c r="S14" s="362">
        <f t="shared" si="0"/>
        <v>0</v>
      </c>
      <c r="T14" s="362">
        <f t="shared" si="0"/>
        <v>0</v>
      </c>
      <c r="U14" s="362">
        <f t="shared" si="0"/>
        <v>0</v>
      </c>
      <c r="V14" s="362">
        <f t="shared" si="0"/>
        <v>0</v>
      </c>
      <c r="W14" s="362">
        <f t="shared" si="0"/>
        <v>0</v>
      </c>
      <c r="X14" s="362">
        <f t="shared" si="0"/>
        <v>0</v>
      </c>
      <c r="Y14" s="362">
        <f t="shared" si="0"/>
        <v>0</v>
      </c>
      <c r="Z14" s="362">
        <f t="shared" si="0"/>
        <v>0</v>
      </c>
      <c r="AA14" s="362">
        <f t="shared" si="0"/>
        <v>0</v>
      </c>
      <c r="AB14" s="362">
        <f t="shared" si="0"/>
        <v>0</v>
      </c>
      <c r="AC14" s="362">
        <f t="shared" si="0"/>
        <v>0</v>
      </c>
      <c r="AD14" s="362">
        <f t="shared" si="0"/>
        <v>0</v>
      </c>
      <c r="AE14" s="362">
        <f t="shared" si="0"/>
        <v>0</v>
      </c>
      <c r="AF14" s="362">
        <f t="shared" si="0"/>
        <v>0</v>
      </c>
      <c r="AG14" s="362">
        <f t="shared" si="0"/>
        <v>0</v>
      </c>
      <c r="AH14" s="362">
        <f t="shared" si="0"/>
        <v>0</v>
      </c>
      <c r="AI14" s="362">
        <f t="shared" si="0"/>
        <v>0</v>
      </c>
      <c r="AJ14" s="362">
        <f t="shared" si="0"/>
        <v>0</v>
      </c>
      <c r="AK14" s="362">
        <f t="shared" si="0"/>
        <v>0</v>
      </c>
      <c r="AL14" s="362">
        <f t="shared" si="0"/>
        <v>0</v>
      </c>
      <c r="AM14" s="362">
        <f t="shared" si="0"/>
        <v>0</v>
      </c>
      <c r="AN14" s="362">
        <f t="shared" si="0"/>
        <v>0</v>
      </c>
      <c r="AO14" s="362">
        <f t="shared" si="0"/>
        <v>0</v>
      </c>
      <c r="AP14" s="362">
        <f t="shared" si="0"/>
        <v>0</v>
      </c>
      <c r="AQ14" s="362">
        <f t="shared" si="0"/>
        <v>0</v>
      </c>
    </row>
    <row r="15" spans="1:44" x14ac:dyDescent="0.2">
      <c r="E15" s="343"/>
      <c r="F15" s="343"/>
      <c r="G15" s="343"/>
      <c r="H15" s="343"/>
      <c r="I15" s="343"/>
      <c r="J15" s="343"/>
      <c r="K15" s="343"/>
      <c r="L15" s="343"/>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row>
    <row r="16" spans="1:44" s="415" customFormat="1" x14ac:dyDescent="0.2">
      <c r="A16" s="414"/>
      <c r="E16" s="336" t="str">
        <f>'ORT uitgangspunten'!E48</f>
        <v>Kosten aanleg secundaire leidingnetten</v>
      </c>
      <c r="F16" s="325">
        <f>'ORT uitgangspunten'!G48</f>
        <v>0</v>
      </c>
      <c r="G16" s="354"/>
      <c r="H16" s="343"/>
      <c r="I16" s="343"/>
      <c r="J16" s="343"/>
      <c r="K16" s="343"/>
      <c r="L16" s="343"/>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row>
    <row r="17" spans="1:43" x14ac:dyDescent="0.2">
      <c r="B17" s="324"/>
      <c r="E17" s="337" t="str">
        <f>'ORT aansluitingen'!F80</f>
        <v>Econ. levensduur en fasering secundaire netten</v>
      </c>
      <c r="F17" s="338">
        <f>'ORT aansluitingen'!G80</f>
        <v>30</v>
      </c>
      <c r="G17" s="337" t="s">
        <v>274</v>
      </c>
      <c r="M17" s="337">
        <f>'ORT aansluitingen'!U$80</f>
        <v>0</v>
      </c>
      <c r="N17" s="337">
        <f>'ORT aansluitingen'!V$80</f>
        <v>0</v>
      </c>
      <c r="O17" s="337">
        <f>'ORT aansluitingen'!W$80</f>
        <v>0</v>
      </c>
      <c r="P17" s="337">
        <f>'ORT aansluitingen'!X$80</f>
        <v>0</v>
      </c>
      <c r="Q17" s="337">
        <f>'ORT aansluitingen'!Y$80</f>
        <v>0</v>
      </c>
      <c r="R17" s="337">
        <f>'ORT aansluitingen'!Z$80</f>
        <v>0</v>
      </c>
      <c r="S17" s="337">
        <f>'ORT aansluitingen'!AA$80</f>
        <v>0</v>
      </c>
      <c r="T17" s="337">
        <f>'ORT aansluitingen'!AB$80</f>
        <v>0</v>
      </c>
      <c r="U17" s="337">
        <f>'ORT aansluitingen'!AC$80</f>
        <v>0</v>
      </c>
      <c r="V17" s="337">
        <f>'ORT aansluitingen'!AD$80</f>
        <v>0</v>
      </c>
      <c r="W17" s="337">
        <f>'ORT aansluitingen'!AE$80</f>
        <v>0</v>
      </c>
      <c r="X17" s="337">
        <f>'ORT aansluitingen'!AF$80</f>
        <v>0</v>
      </c>
      <c r="Y17" s="337">
        <f>'ORT aansluitingen'!AG$80</f>
        <v>0</v>
      </c>
      <c r="Z17" s="337">
        <f>'ORT aansluitingen'!AH$80</f>
        <v>0</v>
      </c>
      <c r="AA17" s="337">
        <f>'ORT aansluitingen'!AI$80</f>
        <v>0</v>
      </c>
      <c r="AB17" s="337">
        <f>'ORT aansluitingen'!AJ$80</f>
        <v>0</v>
      </c>
      <c r="AC17" s="337">
        <f>'ORT aansluitingen'!AK$80</f>
        <v>0</v>
      </c>
      <c r="AD17" s="337">
        <f>'ORT aansluitingen'!AL$80</f>
        <v>0</v>
      </c>
      <c r="AE17" s="337">
        <f>'ORT aansluitingen'!AM$80</f>
        <v>0</v>
      </c>
      <c r="AF17" s="337">
        <f>'ORT aansluitingen'!AN$80</f>
        <v>0</v>
      </c>
      <c r="AG17" s="337">
        <f>'ORT aansluitingen'!AO$80</f>
        <v>0</v>
      </c>
      <c r="AH17" s="337">
        <f>'ORT aansluitingen'!AP$80</f>
        <v>0</v>
      </c>
      <c r="AI17" s="337">
        <f>'ORT aansluitingen'!AQ$80</f>
        <v>0</v>
      </c>
      <c r="AJ17" s="337">
        <f>'ORT aansluitingen'!AR$80</f>
        <v>0</v>
      </c>
      <c r="AK17" s="337">
        <f>'ORT aansluitingen'!AS$80</f>
        <v>0</v>
      </c>
      <c r="AL17" s="337">
        <f>'ORT aansluitingen'!AT$80</f>
        <v>0</v>
      </c>
      <c r="AM17" s="337">
        <f>'ORT aansluitingen'!AU$80</f>
        <v>0</v>
      </c>
      <c r="AN17" s="337">
        <f>'ORT aansluitingen'!AV$80</f>
        <v>0</v>
      </c>
      <c r="AO17" s="337">
        <f>'ORT aansluitingen'!AW$80</f>
        <v>0</v>
      </c>
      <c r="AP17" s="337">
        <f>'ORT aansluitingen'!AX$80</f>
        <v>0</v>
      </c>
      <c r="AQ17" s="337">
        <f>'ORT aansluitingen'!AY$80</f>
        <v>0</v>
      </c>
    </row>
    <row r="18" spans="1:43" s="415" customFormat="1" x14ac:dyDescent="0.2">
      <c r="A18" s="414"/>
      <c r="E18" s="354" t="s">
        <v>368</v>
      </c>
      <c r="F18" s="354"/>
      <c r="G18" s="354"/>
      <c r="H18" s="343"/>
      <c r="I18" s="354"/>
      <c r="J18" s="354"/>
      <c r="K18" s="354"/>
      <c r="L18" s="354"/>
      <c r="M18" s="354">
        <f>$F$16*M$10*M$17</f>
        <v>0</v>
      </c>
      <c r="N18" s="354">
        <f t="shared" ref="N18:AQ18" si="1">$F$16*N$10*N$17</f>
        <v>0</v>
      </c>
      <c r="O18" s="354">
        <f t="shared" si="1"/>
        <v>0</v>
      </c>
      <c r="P18" s="354">
        <f t="shared" si="1"/>
        <v>0</v>
      </c>
      <c r="Q18" s="354">
        <f t="shared" si="1"/>
        <v>0</v>
      </c>
      <c r="R18" s="354">
        <f t="shared" si="1"/>
        <v>0</v>
      </c>
      <c r="S18" s="354">
        <f t="shared" si="1"/>
        <v>0</v>
      </c>
      <c r="T18" s="354">
        <f t="shared" si="1"/>
        <v>0</v>
      </c>
      <c r="U18" s="354">
        <f t="shared" si="1"/>
        <v>0</v>
      </c>
      <c r="V18" s="354">
        <f t="shared" si="1"/>
        <v>0</v>
      </c>
      <c r="W18" s="354">
        <f t="shared" si="1"/>
        <v>0</v>
      </c>
      <c r="X18" s="354">
        <f t="shared" si="1"/>
        <v>0</v>
      </c>
      <c r="Y18" s="354">
        <f t="shared" si="1"/>
        <v>0</v>
      </c>
      <c r="Z18" s="354">
        <f t="shared" si="1"/>
        <v>0</v>
      </c>
      <c r="AA18" s="354">
        <f t="shared" si="1"/>
        <v>0</v>
      </c>
      <c r="AB18" s="354">
        <f t="shared" si="1"/>
        <v>0</v>
      </c>
      <c r="AC18" s="354">
        <f t="shared" si="1"/>
        <v>0</v>
      </c>
      <c r="AD18" s="354">
        <f t="shared" si="1"/>
        <v>0</v>
      </c>
      <c r="AE18" s="354">
        <f t="shared" si="1"/>
        <v>0</v>
      </c>
      <c r="AF18" s="354">
        <f t="shared" si="1"/>
        <v>0</v>
      </c>
      <c r="AG18" s="354">
        <f t="shared" si="1"/>
        <v>0</v>
      </c>
      <c r="AH18" s="354">
        <f t="shared" si="1"/>
        <v>0</v>
      </c>
      <c r="AI18" s="354">
        <f t="shared" si="1"/>
        <v>0</v>
      </c>
      <c r="AJ18" s="354">
        <f t="shared" si="1"/>
        <v>0</v>
      </c>
      <c r="AK18" s="354">
        <f t="shared" si="1"/>
        <v>0</v>
      </c>
      <c r="AL18" s="354">
        <f t="shared" si="1"/>
        <v>0</v>
      </c>
      <c r="AM18" s="354">
        <f t="shared" si="1"/>
        <v>0</v>
      </c>
      <c r="AN18" s="354">
        <f t="shared" si="1"/>
        <v>0</v>
      </c>
      <c r="AO18" s="354">
        <f t="shared" si="1"/>
        <v>0</v>
      </c>
      <c r="AP18" s="354">
        <f t="shared" si="1"/>
        <v>0</v>
      </c>
      <c r="AQ18" s="354">
        <f t="shared" si="1"/>
        <v>0</v>
      </c>
    </row>
    <row r="19" spans="1:43" x14ac:dyDescent="0.2">
      <c r="E19" s="343"/>
      <c r="F19" s="343"/>
      <c r="G19" s="343"/>
    </row>
    <row r="20" spans="1:43" s="415" customFormat="1" x14ac:dyDescent="0.2">
      <c r="A20" s="414"/>
      <c r="E20" s="336" t="str">
        <f>'ORT uitgangspunten'!E51</f>
        <v>Kosten overdrachtstations</v>
      </c>
      <c r="F20" s="325">
        <f>'ORT uitgangspunten'!G51</f>
        <v>0</v>
      </c>
      <c r="G20" s="354"/>
      <c r="H20" s="343"/>
      <c r="I20" s="343"/>
      <c r="J20" s="343"/>
      <c r="K20" s="343"/>
      <c r="L20" s="343"/>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row>
    <row r="21" spans="1:43" x14ac:dyDescent="0.2">
      <c r="B21" s="324"/>
      <c r="E21" s="337" t="str">
        <f>'ORT aansluitingen'!F82</f>
        <v>Econ. levensduur en fasering overdrachtstations</v>
      </c>
      <c r="F21" s="338">
        <f>'ORT aansluitingen'!G82</f>
        <v>30</v>
      </c>
      <c r="G21" s="337" t="s">
        <v>274</v>
      </c>
      <c r="M21" s="337">
        <f>'ORT aansluitingen'!U$82</f>
        <v>0</v>
      </c>
      <c r="N21" s="337">
        <f>'ORT aansluitingen'!V$82</f>
        <v>0</v>
      </c>
      <c r="O21" s="337">
        <f>'ORT aansluitingen'!W$82</f>
        <v>0</v>
      </c>
      <c r="P21" s="337">
        <f>'ORT aansluitingen'!X$82</f>
        <v>0</v>
      </c>
      <c r="Q21" s="337">
        <f>'ORT aansluitingen'!Y$82</f>
        <v>0</v>
      </c>
      <c r="R21" s="337">
        <f>'ORT aansluitingen'!Z$82</f>
        <v>0</v>
      </c>
      <c r="S21" s="337">
        <f>'ORT aansluitingen'!AA$82</f>
        <v>0</v>
      </c>
      <c r="T21" s="337">
        <f>'ORT aansluitingen'!AB$82</f>
        <v>0</v>
      </c>
      <c r="U21" s="337">
        <f>'ORT aansluitingen'!AC$82</f>
        <v>0</v>
      </c>
      <c r="V21" s="337">
        <f>'ORT aansluitingen'!AD$82</f>
        <v>0</v>
      </c>
      <c r="W21" s="337">
        <f>'ORT aansluitingen'!AE$82</f>
        <v>0</v>
      </c>
      <c r="X21" s="337">
        <f>'ORT aansluitingen'!AF$82</f>
        <v>0</v>
      </c>
      <c r="Y21" s="337">
        <f>'ORT aansluitingen'!AG$82</f>
        <v>0</v>
      </c>
      <c r="Z21" s="337">
        <f>'ORT aansluitingen'!AH$82</f>
        <v>0</v>
      </c>
      <c r="AA21" s="337">
        <f>'ORT aansluitingen'!AI$82</f>
        <v>0</v>
      </c>
      <c r="AB21" s="337">
        <f>'ORT aansluitingen'!AJ$82</f>
        <v>0</v>
      </c>
      <c r="AC21" s="337">
        <f>'ORT aansluitingen'!AK$82</f>
        <v>0</v>
      </c>
      <c r="AD21" s="337">
        <f>'ORT aansluitingen'!AL$82</f>
        <v>0</v>
      </c>
      <c r="AE21" s="337">
        <f>'ORT aansluitingen'!AM$82</f>
        <v>0</v>
      </c>
      <c r="AF21" s="337">
        <f>'ORT aansluitingen'!AN$82</f>
        <v>0</v>
      </c>
      <c r="AG21" s="337">
        <f>'ORT aansluitingen'!AO$82</f>
        <v>0</v>
      </c>
      <c r="AH21" s="337">
        <f>'ORT aansluitingen'!AP$82</f>
        <v>0</v>
      </c>
      <c r="AI21" s="337">
        <f>'ORT aansluitingen'!AQ$82</f>
        <v>0</v>
      </c>
      <c r="AJ21" s="337">
        <f>'ORT aansluitingen'!AR$82</f>
        <v>0</v>
      </c>
      <c r="AK21" s="337">
        <f>'ORT aansluitingen'!AS$82</f>
        <v>0</v>
      </c>
      <c r="AL21" s="337">
        <f>'ORT aansluitingen'!AT$82</f>
        <v>0</v>
      </c>
      <c r="AM21" s="337">
        <f>'ORT aansluitingen'!AU$82</f>
        <v>0</v>
      </c>
      <c r="AN21" s="337">
        <f>'ORT aansluitingen'!AV$82</f>
        <v>0</v>
      </c>
      <c r="AO21" s="337">
        <f>'ORT aansluitingen'!AW$82</f>
        <v>0</v>
      </c>
      <c r="AP21" s="337">
        <f>'ORT aansluitingen'!AX$82</f>
        <v>0</v>
      </c>
      <c r="AQ21" s="337">
        <f>'ORT aansluitingen'!AY$82</f>
        <v>0</v>
      </c>
    </row>
    <row r="22" spans="1:43" s="415" customFormat="1" x14ac:dyDescent="0.2">
      <c r="A22" s="414"/>
      <c r="E22" s="354" t="s">
        <v>367</v>
      </c>
      <c r="F22" s="354"/>
      <c r="G22" s="354"/>
      <c r="H22" s="343"/>
      <c r="I22" s="354"/>
      <c r="J22" s="354"/>
      <c r="K22" s="354"/>
      <c r="L22" s="354"/>
      <c r="M22" s="354">
        <f>$F$20*M$10*M$21</f>
        <v>0</v>
      </c>
      <c r="N22" s="354">
        <f t="shared" ref="N22:AQ22" si="2">$F$20*N$10*N$21</f>
        <v>0</v>
      </c>
      <c r="O22" s="354">
        <f t="shared" si="2"/>
        <v>0</v>
      </c>
      <c r="P22" s="354">
        <f t="shared" si="2"/>
        <v>0</v>
      </c>
      <c r="Q22" s="354">
        <f t="shared" si="2"/>
        <v>0</v>
      </c>
      <c r="R22" s="354">
        <f t="shared" si="2"/>
        <v>0</v>
      </c>
      <c r="S22" s="354">
        <f t="shared" si="2"/>
        <v>0</v>
      </c>
      <c r="T22" s="354">
        <f t="shared" si="2"/>
        <v>0</v>
      </c>
      <c r="U22" s="354">
        <f t="shared" si="2"/>
        <v>0</v>
      </c>
      <c r="V22" s="354">
        <f t="shared" si="2"/>
        <v>0</v>
      </c>
      <c r="W22" s="354">
        <f t="shared" si="2"/>
        <v>0</v>
      </c>
      <c r="X22" s="354">
        <f t="shared" si="2"/>
        <v>0</v>
      </c>
      <c r="Y22" s="354">
        <f t="shared" si="2"/>
        <v>0</v>
      </c>
      <c r="Z22" s="354">
        <f t="shared" si="2"/>
        <v>0</v>
      </c>
      <c r="AA22" s="354">
        <f t="shared" si="2"/>
        <v>0</v>
      </c>
      <c r="AB22" s="354">
        <f t="shared" si="2"/>
        <v>0</v>
      </c>
      <c r="AC22" s="354">
        <f t="shared" si="2"/>
        <v>0</v>
      </c>
      <c r="AD22" s="354">
        <f t="shared" si="2"/>
        <v>0</v>
      </c>
      <c r="AE22" s="354">
        <f t="shared" si="2"/>
        <v>0</v>
      </c>
      <c r="AF22" s="354">
        <f t="shared" si="2"/>
        <v>0</v>
      </c>
      <c r="AG22" s="354">
        <f t="shared" si="2"/>
        <v>0</v>
      </c>
      <c r="AH22" s="354">
        <f t="shared" si="2"/>
        <v>0</v>
      </c>
      <c r="AI22" s="354">
        <f t="shared" si="2"/>
        <v>0</v>
      </c>
      <c r="AJ22" s="354">
        <f t="shared" si="2"/>
        <v>0</v>
      </c>
      <c r="AK22" s="354">
        <f t="shared" si="2"/>
        <v>0</v>
      </c>
      <c r="AL22" s="354">
        <f t="shared" si="2"/>
        <v>0</v>
      </c>
      <c r="AM22" s="354">
        <f t="shared" si="2"/>
        <v>0</v>
      </c>
      <c r="AN22" s="354">
        <f t="shared" si="2"/>
        <v>0</v>
      </c>
      <c r="AO22" s="354">
        <f t="shared" si="2"/>
        <v>0</v>
      </c>
      <c r="AP22" s="354">
        <f t="shared" si="2"/>
        <v>0</v>
      </c>
      <c r="AQ22" s="354">
        <f t="shared" si="2"/>
        <v>0</v>
      </c>
    </row>
    <row r="23" spans="1:43" s="415" customFormat="1" x14ac:dyDescent="0.2">
      <c r="A23" s="414"/>
      <c r="E23" s="354"/>
      <c r="F23" s="354"/>
      <c r="G23" s="354"/>
      <c r="H23" s="343"/>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row>
    <row r="24" spans="1:43" x14ac:dyDescent="0.2">
      <c r="B24" s="324"/>
      <c r="E24" s="338" t="str">
        <f>'ORT aansluitingen'!F64</f>
        <v>Aantal aansluitingen grondgebonden</v>
      </c>
      <c r="F24" s="338">
        <f>SUM(M24:AQ24)</f>
        <v>0</v>
      </c>
      <c r="G24" s="338" t="s">
        <v>231</v>
      </c>
      <c r="M24" s="338">
        <f>'ORT aansluitingen'!U64</f>
        <v>0</v>
      </c>
      <c r="N24" s="338">
        <f>'ORT aansluitingen'!V64</f>
        <v>0</v>
      </c>
      <c r="O24" s="338">
        <f>'ORT aansluitingen'!W64</f>
        <v>0</v>
      </c>
      <c r="P24" s="338">
        <f>'ORT aansluitingen'!X64</f>
        <v>0</v>
      </c>
      <c r="Q24" s="338">
        <f>'ORT aansluitingen'!Y64</f>
        <v>0</v>
      </c>
      <c r="R24" s="338">
        <f>'ORT aansluitingen'!Z64</f>
        <v>0</v>
      </c>
      <c r="S24" s="338">
        <f>'ORT aansluitingen'!AA64</f>
        <v>0</v>
      </c>
      <c r="T24" s="338">
        <f>'ORT aansluitingen'!AB64</f>
        <v>0</v>
      </c>
      <c r="U24" s="338">
        <f>'ORT aansluitingen'!AC64</f>
        <v>0</v>
      </c>
      <c r="V24" s="338">
        <f>'ORT aansluitingen'!AD64</f>
        <v>0</v>
      </c>
      <c r="W24" s="338">
        <f>'ORT aansluitingen'!AE64</f>
        <v>0</v>
      </c>
      <c r="X24" s="338">
        <f>'ORT aansluitingen'!AF64</f>
        <v>0</v>
      </c>
      <c r="Y24" s="338">
        <f>'ORT aansluitingen'!AG64</f>
        <v>0</v>
      </c>
      <c r="Z24" s="338">
        <f>'ORT aansluitingen'!AH64</f>
        <v>0</v>
      </c>
      <c r="AA24" s="338">
        <f>'ORT aansluitingen'!AI64</f>
        <v>0</v>
      </c>
      <c r="AB24" s="338">
        <f>'ORT aansluitingen'!AJ64</f>
        <v>0</v>
      </c>
      <c r="AC24" s="338">
        <f>'ORT aansluitingen'!AK64</f>
        <v>0</v>
      </c>
      <c r="AD24" s="338">
        <f>'ORT aansluitingen'!AL64</f>
        <v>0</v>
      </c>
      <c r="AE24" s="338">
        <f>'ORT aansluitingen'!AM64</f>
        <v>0</v>
      </c>
      <c r="AF24" s="338">
        <f>'ORT aansluitingen'!AN64</f>
        <v>0</v>
      </c>
      <c r="AG24" s="338">
        <f>'ORT aansluitingen'!AO64</f>
        <v>0</v>
      </c>
      <c r="AH24" s="338">
        <f>'ORT aansluitingen'!AP64</f>
        <v>0</v>
      </c>
      <c r="AI24" s="338">
        <f>'ORT aansluitingen'!AQ64</f>
        <v>0</v>
      </c>
      <c r="AJ24" s="338">
        <f>'ORT aansluitingen'!AR64</f>
        <v>0</v>
      </c>
      <c r="AK24" s="338">
        <f>'ORT aansluitingen'!AS64</f>
        <v>0</v>
      </c>
      <c r="AL24" s="338">
        <f>'ORT aansluitingen'!AT64</f>
        <v>0</v>
      </c>
      <c r="AM24" s="338">
        <f>'ORT aansluitingen'!AU64</f>
        <v>0</v>
      </c>
      <c r="AN24" s="338">
        <f>'ORT aansluitingen'!AV64</f>
        <v>0</v>
      </c>
      <c r="AO24" s="338">
        <f>'ORT aansluitingen'!AW64</f>
        <v>0</v>
      </c>
      <c r="AP24" s="338">
        <f>'ORT aansluitingen'!AX64</f>
        <v>0</v>
      </c>
      <c r="AQ24" s="338">
        <f>'ORT aansluitingen'!AY64</f>
        <v>0</v>
      </c>
    </row>
    <row r="25" spans="1:43" s="415" customFormat="1" x14ac:dyDescent="0.2">
      <c r="A25" s="414"/>
      <c r="E25" s="415" t="str">
        <f>'ORT uitgangspunten'!E55</f>
        <v>Aansluitingen grondgebonden woning</v>
      </c>
      <c r="F25" s="419">
        <f>'ORT uitgangspunten'!G55</f>
        <v>0</v>
      </c>
      <c r="G25" s="415" t="s">
        <v>227</v>
      </c>
      <c r="H25" s="343"/>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row>
    <row r="26" spans="1:43" s="415" customFormat="1" x14ac:dyDescent="0.2">
      <c r="A26" s="414"/>
      <c r="E26" s="354" t="s">
        <v>366</v>
      </c>
      <c r="F26" s="354"/>
      <c r="G26" s="354"/>
      <c r="H26" s="343"/>
      <c r="I26" s="343"/>
      <c r="J26" s="343"/>
      <c r="K26" s="343"/>
      <c r="L26" s="343"/>
      <c r="M26" s="354">
        <f>M10 * M24 * $F$25</f>
        <v>0</v>
      </c>
      <c r="N26" s="354">
        <f t="shared" ref="N26:AQ26" si="3">N10 * N24 * $F$25</f>
        <v>0</v>
      </c>
      <c r="O26" s="354">
        <f t="shared" si="3"/>
        <v>0</v>
      </c>
      <c r="P26" s="354">
        <f t="shared" si="3"/>
        <v>0</v>
      </c>
      <c r="Q26" s="354">
        <f t="shared" si="3"/>
        <v>0</v>
      </c>
      <c r="R26" s="354">
        <f t="shared" si="3"/>
        <v>0</v>
      </c>
      <c r="S26" s="354">
        <f t="shared" si="3"/>
        <v>0</v>
      </c>
      <c r="T26" s="354">
        <f t="shared" si="3"/>
        <v>0</v>
      </c>
      <c r="U26" s="354">
        <f t="shared" si="3"/>
        <v>0</v>
      </c>
      <c r="V26" s="354">
        <f t="shared" si="3"/>
        <v>0</v>
      </c>
      <c r="W26" s="354">
        <f t="shared" si="3"/>
        <v>0</v>
      </c>
      <c r="X26" s="354">
        <f t="shared" si="3"/>
        <v>0</v>
      </c>
      <c r="Y26" s="354">
        <f t="shared" si="3"/>
        <v>0</v>
      </c>
      <c r="Z26" s="354">
        <f t="shared" si="3"/>
        <v>0</v>
      </c>
      <c r="AA26" s="354">
        <f t="shared" si="3"/>
        <v>0</v>
      </c>
      <c r="AB26" s="354">
        <f t="shared" si="3"/>
        <v>0</v>
      </c>
      <c r="AC26" s="354">
        <f t="shared" si="3"/>
        <v>0</v>
      </c>
      <c r="AD26" s="354">
        <f t="shared" si="3"/>
        <v>0</v>
      </c>
      <c r="AE26" s="354">
        <f t="shared" si="3"/>
        <v>0</v>
      </c>
      <c r="AF26" s="354">
        <f t="shared" si="3"/>
        <v>0</v>
      </c>
      <c r="AG26" s="354">
        <f t="shared" si="3"/>
        <v>0</v>
      </c>
      <c r="AH26" s="354">
        <f t="shared" si="3"/>
        <v>0</v>
      </c>
      <c r="AI26" s="354">
        <f t="shared" si="3"/>
        <v>0</v>
      </c>
      <c r="AJ26" s="354">
        <f t="shared" si="3"/>
        <v>0</v>
      </c>
      <c r="AK26" s="354">
        <f t="shared" si="3"/>
        <v>0</v>
      </c>
      <c r="AL26" s="354">
        <f t="shared" si="3"/>
        <v>0</v>
      </c>
      <c r="AM26" s="354">
        <f t="shared" si="3"/>
        <v>0</v>
      </c>
      <c r="AN26" s="354">
        <f t="shared" si="3"/>
        <v>0</v>
      </c>
      <c r="AO26" s="354">
        <f t="shared" si="3"/>
        <v>0</v>
      </c>
      <c r="AP26" s="354">
        <f t="shared" si="3"/>
        <v>0</v>
      </c>
      <c r="AQ26" s="354">
        <f t="shared" si="3"/>
        <v>0</v>
      </c>
    </row>
    <row r="27" spans="1:43" s="336" customFormat="1" x14ac:dyDescent="0.2">
      <c r="A27" s="340"/>
      <c r="H27" s="325"/>
      <c r="I27" s="325"/>
      <c r="J27" s="325"/>
      <c r="K27" s="325"/>
      <c r="L27" s="325"/>
    </row>
    <row r="28" spans="1:43" x14ac:dyDescent="0.2">
      <c r="B28" s="324"/>
      <c r="E28" s="338" t="str">
        <f>'ORT aansluitingen'!F68</f>
        <v>Aantal aansluitingen gestapeld</v>
      </c>
      <c r="F28" s="338">
        <f>SUM(M28:AQ28)</f>
        <v>0</v>
      </c>
      <c r="G28" s="338" t="s">
        <v>231</v>
      </c>
      <c r="M28" s="338">
        <f>'ORT aansluitingen'!U68</f>
        <v>0</v>
      </c>
      <c r="N28" s="338">
        <f>'ORT aansluitingen'!V68</f>
        <v>0</v>
      </c>
      <c r="O28" s="338">
        <f>'ORT aansluitingen'!W68</f>
        <v>0</v>
      </c>
      <c r="P28" s="338">
        <f>'ORT aansluitingen'!X68</f>
        <v>0</v>
      </c>
      <c r="Q28" s="338">
        <f>'ORT aansluitingen'!Y68</f>
        <v>0</v>
      </c>
      <c r="R28" s="338">
        <f>'ORT aansluitingen'!Z68</f>
        <v>0</v>
      </c>
      <c r="S28" s="338">
        <f>'ORT aansluitingen'!AA68</f>
        <v>0</v>
      </c>
      <c r="T28" s="338">
        <f>'ORT aansluitingen'!AB68</f>
        <v>0</v>
      </c>
      <c r="U28" s="338">
        <f>'ORT aansluitingen'!AC68</f>
        <v>0</v>
      </c>
      <c r="V28" s="338">
        <f>'ORT aansluitingen'!AD68</f>
        <v>0</v>
      </c>
      <c r="W28" s="338">
        <f>'ORT aansluitingen'!AE68</f>
        <v>0</v>
      </c>
      <c r="X28" s="338">
        <f>'ORT aansluitingen'!AF68</f>
        <v>0</v>
      </c>
      <c r="Y28" s="338">
        <f>'ORT aansluitingen'!AG68</f>
        <v>0</v>
      </c>
      <c r="Z28" s="338">
        <f>'ORT aansluitingen'!AH68</f>
        <v>0</v>
      </c>
      <c r="AA28" s="338">
        <f>'ORT aansluitingen'!AI68</f>
        <v>0</v>
      </c>
      <c r="AB28" s="338">
        <f>'ORT aansluitingen'!AJ68</f>
        <v>0</v>
      </c>
      <c r="AC28" s="338">
        <f>'ORT aansluitingen'!AK68</f>
        <v>0</v>
      </c>
      <c r="AD28" s="338">
        <f>'ORT aansluitingen'!AL68</f>
        <v>0</v>
      </c>
      <c r="AE28" s="338">
        <f>'ORT aansluitingen'!AM68</f>
        <v>0</v>
      </c>
      <c r="AF28" s="338">
        <f>'ORT aansluitingen'!AN68</f>
        <v>0</v>
      </c>
      <c r="AG28" s="338">
        <f>'ORT aansluitingen'!AO68</f>
        <v>0</v>
      </c>
      <c r="AH28" s="338">
        <f>'ORT aansluitingen'!AP68</f>
        <v>0</v>
      </c>
      <c r="AI28" s="338">
        <f>'ORT aansluitingen'!AQ68</f>
        <v>0</v>
      </c>
      <c r="AJ28" s="338">
        <f>'ORT aansluitingen'!AR68</f>
        <v>0</v>
      </c>
      <c r="AK28" s="338">
        <f>'ORT aansluitingen'!AS68</f>
        <v>0</v>
      </c>
      <c r="AL28" s="338">
        <f>'ORT aansluitingen'!AT68</f>
        <v>0</v>
      </c>
      <c r="AM28" s="338">
        <f>'ORT aansluitingen'!AU68</f>
        <v>0</v>
      </c>
      <c r="AN28" s="338">
        <f>'ORT aansluitingen'!AV68</f>
        <v>0</v>
      </c>
      <c r="AO28" s="338">
        <f>'ORT aansluitingen'!AW68</f>
        <v>0</v>
      </c>
      <c r="AP28" s="338">
        <f>'ORT aansluitingen'!AX68</f>
        <v>0</v>
      </c>
      <c r="AQ28" s="338">
        <f>'ORT aansluitingen'!AY68</f>
        <v>0</v>
      </c>
    </row>
    <row r="29" spans="1:43" s="407" customFormat="1" x14ac:dyDescent="0.2">
      <c r="A29" s="406"/>
      <c r="E29" s="407" t="str">
        <f>'ORT uitgangspunten'!E56</f>
        <v>Aansluitingen gestapelde woning</v>
      </c>
      <c r="F29" s="407">
        <f>'ORT uitgangspunten'!G56</f>
        <v>0</v>
      </c>
      <c r="G29" s="407" t="s">
        <v>227</v>
      </c>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row>
    <row r="30" spans="1:43" s="415" customFormat="1" x14ac:dyDescent="0.2">
      <c r="A30" s="414"/>
      <c r="E30" s="354" t="s">
        <v>365</v>
      </c>
      <c r="F30" s="354"/>
      <c r="G30" s="354"/>
      <c r="H30" s="343"/>
      <c r="I30" s="343"/>
      <c r="J30" s="343"/>
      <c r="K30" s="343"/>
      <c r="L30" s="343"/>
      <c r="M30" s="354">
        <f>M10 * M28 * $F$29</f>
        <v>0</v>
      </c>
      <c r="N30" s="354">
        <f t="shared" ref="N30:AQ30" si="4">N10 * N28 * $F$29</f>
        <v>0</v>
      </c>
      <c r="O30" s="354">
        <f t="shared" si="4"/>
        <v>0</v>
      </c>
      <c r="P30" s="354">
        <f t="shared" si="4"/>
        <v>0</v>
      </c>
      <c r="Q30" s="354">
        <f t="shared" si="4"/>
        <v>0</v>
      </c>
      <c r="R30" s="354">
        <f t="shared" si="4"/>
        <v>0</v>
      </c>
      <c r="S30" s="354">
        <f t="shared" si="4"/>
        <v>0</v>
      </c>
      <c r="T30" s="354">
        <f t="shared" si="4"/>
        <v>0</v>
      </c>
      <c r="U30" s="354">
        <f t="shared" si="4"/>
        <v>0</v>
      </c>
      <c r="V30" s="354">
        <f t="shared" si="4"/>
        <v>0</v>
      </c>
      <c r="W30" s="354">
        <f t="shared" si="4"/>
        <v>0</v>
      </c>
      <c r="X30" s="354">
        <f t="shared" si="4"/>
        <v>0</v>
      </c>
      <c r="Y30" s="354">
        <f t="shared" si="4"/>
        <v>0</v>
      </c>
      <c r="Z30" s="354">
        <f t="shared" si="4"/>
        <v>0</v>
      </c>
      <c r="AA30" s="354">
        <f t="shared" si="4"/>
        <v>0</v>
      </c>
      <c r="AB30" s="354">
        <f t="shared" si="4"/>
        <v>0</v>
      </c>
      <c r="AC30" s="354">
        <f t="shared" si="4"/>
        <v>0</v>
      </c>
      <c r="AD30" s="354">
        <f t="shared" si="4"/>
        <v>0</v>
      </c>
      <c r="AE30" s="354">
        <f t="shared" si="4"/>
        <v>0</v>
      </c>
      <c r="AF30" s="354">
        <f t="shared" si="4"/>
        <v>0</v>
      </c>
      <c r="AG30" s="354">
        <f t="shared" si="4"/>
        <v>0</v>
      </c>
      <c r="AH30" s="354">
        <f t="shared" si="4"/>
        <v>0</v>
      </c>
      <c r="AI30" s="354">
        <f t="shared" si="4"/>
        <v>0</v>
      </c>
      <c r="AJ30" s="354">
        <f t="shared" si="4"/>
        <v>0</v>
      </c>
      <c r="AK30" s="354">
        <f t="shared" si="4"/>
        <v>0</v>
      </c>
      <c r="AL30" s="354">
        <f t="shared" si="4"/>
        <v>0</v>
      </c>
      <c r="AM30" s="354">
        <f t="shared" si="4"/>
        <v>0</v>
      </c>
      <c r="AN30" s="354">
        <f t="shared" si="4"/>
        <v>0</v>
      </c>
      <c r="AO30" s="354">
        <f t="shared" si="4"/>
        <v>0</v>
      </c>
      <c r="AP30" s="354">
        <f t="shared" si="4"/>
        <v>0</v>
      </c>
      <c r="AQ30" s="354">
        <f t="shared" si="4"/>
        <v>0</v>
      </c>
    </row>
    <row r="31" spans="1:43" s="338" customFormat="1" x14ac:dyDescent="0.2">
      <c r="A31" s="352"/>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row>
    <row r="32" spans="1:43" x14ac:dyDescent="0.2">
      <c r="E32" s="336" t="str">
        <f>'ORT aansluitingen'!F64</f>
        <v>Aantal aansluitingen grondgebonden</v>
      </c>
      <c r="F32" s="338">
        <f>SUM(M32:AQ32)</f>
        <v>0</v>
      </c>
      <c r="G32" s="338" t="s">
        <v>231</v>
      </c>
      <c r="H32" s="343"/>
      <c r="I32" s="343"/>
      <c r="J32" s="343"/>
      <c r="K32" s="343"/>
      <c r="L32" s="343"/>
      <c r="M32" s="338">
        <f>'ORT aansluitingen'!U64</f>
        <v>0</v>
      </c>
      <c r="N32" s="338">
        <f>'ORT aansluitingen'!V64</f>
        <v>0</v>
      </c>
      <c r="O32" s="338">
        <f>'ORT aansluitingen'!W64</f>
        <v>0</v>
      </c>
      <c r="P32" s="338">
        <f>'ORT aansluitingen'!X64</f>
        <v>0</v>
      </c>
      <c r="Q32" s="338">
        <f>'ORT aansluitingen'!Y64</f>
        <v>0</v>
      </c>
      <c r="R32" s="338">
        <f>'ORT aansluitingen'!Z64</f>
        <v>0</v>
      </c>
      <c r="S32" s="338">
        <f>'ORT aansluitingen'!AA64</f>
        <v>0</v>
      </c>
      <c r="T32" s="338">
        <f>'ORT aansluitingen'!AB64</f>
        <v>0</v>
      </c>
      <c r="U32" s="338">
        <f>'ORT aansluitingen'!AC64</f>
        <v>0</v>
      </c>
      <c r="V32" s="338">
        <f>'ORT aansluitingen'!AD64</f>
        <v>0</v>
      </c>
      <c r="W32" s="338">
        <f>'ORT aansluitingen'!AE64</f>
        <v>0</v>
      </c>
      <c r="X32" s="338">
        <f>'ORT aansluitingen'!AF64</f>
        <v>0</v>
      </c>
      <c r="Y32" s="338">
        <f>'ORT aansluitingen'!AG64</f>
        <v>0</v>
      </c>
      <c r="Z32" s="338">
        <f>'ORT aansluitingen'!AH64</f>
        <v>0</v>
      </c>
      <c r="AA32" s="338">
        <f>'ORT aansluitingen'!AI64</f>
        <v>0</v>
      </c>
      <c r="AB32" s="338">
        <f>'ORT aansluitingen'!AJ64+'ORT aansluitingen'!U64</f>
        <v>0</v>
      </c>
      <c r="AC32" s="338">
        <f>'ORT aansluitingen'!AK64+'ORT aansluitingen'!V64</f>
        <v>0</v>
      </c>
      <c r="AD32" s="338">
        <f>'ORT aansluitingen'!AL64+'ORT aansluitingen'!W64</f>
        <v>0</v>
      </c>
      <c r="AE32" s="338">
        <f>'ORT aansluitingen'!AM64+'ORT aansluitingen'!X64</f>
        <v>0</v>
      </c>
      <c r="AF32" s="338">
        <f>'ORT aansluitingen'!AN64+'ORT aansluitingen'!Y64</f>
        <v>0</v>
      </c>
      <c r="AG32" s="338">
        <f>'ORT aansluitingen'!AO64+'ORT aansluitingen'!Z64</f>
        <v>0</v>
      </c>
      <c r="AH32" s="338">
        <f>'ORT aansluitingen'!AP64+'ORT aansluitingen'!AA64</f>
        <v>0</v>
      </c>
      <c r="AI32" s="338">
        <f>'ORT aansluitingen'!AQ64+'ORT aansluitingen'!AB64</f>
        <v>0</v>
      </c>
      <c r="AJ32" s="338">
        <f>'ORT aansluitingen'!AR64+'ORT aansluitingen'!AC64</f>
        <v>0</v>
      </c>
      <c r="AK32" s="338">
        <f>'ORT aansluitingen'!AS64+'ORT aansluitingen'!AD64</f>
        <v>0</v>
      </c>
      <c r="AL32" s="338">
        <f>'ORT aansluitingen'!AT64+'ORT aansluitingen'!AE64</f>
        <v>0</v>
      </c>
      <c r="AM32" s="338">
        <f>'ORT aansluitingen'!AU64+'ORT aansluitingen'!AF64</f>
        <v>0</v>
      </c>
      <c r="AN32" s="338">
        <f>'ORT aansluitingen'!AV64+'ORT aansluitingen'!AG64</f>
        <v>0</v>
      </c>
      <c r="AO32" s="338">
        <f>'ORT aansluitingen'!AW64+'ORT aansluitingen'!AH64</f>
        <v>0</v>
      </c>
      <c r="AP32" s="338">
        <f>'ORT aansluitingen'!AX64+'ORT aansluitingen'!AI64</f>
        <v>0</v>
      </c>
      <c r="AQ32" s="338">
        <f>'ORT aansluitingen'!AY64+'ORT aansluitingen'!AJ64</f>
        <v>0</v>
      </c>
    </row>
    <row r="33" spans="1:43" s="338" customFormat="1" x14ac:dyDescent="0.2">
      <c r="A33" s="352"/>
      <c r="E33" s="411" t="str">
        <f>'ORT uitgangspunten'!E57</f>
        <v xml:space="preserve">Kosten warmtewisselaar / afleversets + meter </v>
      </c>
      <c r="F33" s="325">
        <f>'ORT uitgangspunten'!G57</f>
        <v>0</v>
      </c>
      <c r="G33" s="325" t="s">
        <v>227</v>
      </c>
    </row>
    <row r="34" spans="1:43" s="414" customFormat="1" x14ac:dyDescent="0.2">
      <c r="E34" s="934" t="s">
        <v>364</v>
      </c>
      <c r="H34" s="935"/>
      <c r="I34" s="935"/>
      <c r="J34" s="935"/>
      <c r="K34" s="935"/>
      <c r="L34" s="935"/>
      <c r="M34" s="934">
        <f>M10 * M32 * $F$33</f>
        <v>0</v>
      </c>
      <c r="N34" s="934">
        <f t="shared" ref="N34:AA34" si="5">N10 * N32 * $F$33</f>
        <v>0</v>
      </c>
      <c r="O34" s="934">
        <f t="shared" si="5"/>
        <v>0</v>
      </c>
      <c r="P34" s="934">
        <f t="shared" si="5"/>
        <v>0</v>
      </c>
      <c r="Q34" s="934">
        <f t="shared" si="5"/>
        <v>0</v>
      </c>
      <c r="R34" s="934">
        <f t="shared" si="5"/>
        <v>0</v>
      </c>
      <c r="S34" s="934">
        <f t="shared" si="5"/>
        <v>0</v>
      </c>
      <c r="T34" s="934">
        <f t="shared" si="5"/>
        <v>0</v>
      </c>
      <c r="U34" s="934">
        <f t="shared" si="5"/>
        <v>0</v>
      </c>
      <c r="V34" s="934">
        <f t="shared" si="5"/>
        <v>0</v>
      </c>
      <c r="W34" s="934">
        <f t="shared" si="5"/>
        <v>0</v>
      </c>
      <c r="X34" s="934">
        <f t="shared" si="5"/>
        <v>0</v>
      </c>
      <c r="Y34" s="934">
        <f t="shared" si="5"/>
        <v>0</v>
      </c>
      <c r="Z34" s="934">
        <f t="shared" si="5"/>
        <v>0</v>
      </c>
      <c r="AA34" s="934">
        <f t="shared" si="5"/>
        <v>0</v>
      </c>
      <c r="AB34" s="934">
        <f>(AB9-M9+1) * AB32 * $F$33</f>
        <v>0</v>
      </c>
      <c r="AC34" s="934">
        <f t="shared" ref="AC34:AQ34" si="6">(AC9-N9+1) * AC32 * $F$33</f>
        <v>0</v>
      </c>
      <c r="AD34" s="934">
        <f t="shared" si="6"/>
        <v>0</v>
      </c>
      <c r="AE34" s="934">
        <f t="shared" si="6"/>
        <v>0</v>
      </c>
      <c r="AF34" s="934">
        <f t="shared" si="6"/>
        <v>0</v>
      </c>
      <c r="AG34" s="934">
        <f t="shared" si="6"/>
        <v>0</v>
      </c>
      <c r="AH34" s="934">
        <f t="shared" si="6"/>
        <v>0</v>
      </c>
      <c r="AI34" s="934">
        <f t="shared" si="6"/>
        <v>0</v>
      </c>
      <c r="AJ34" s="934">
        <f t="shared" si="6"/>
        <v>0</v>
      </c>
      <c r="AK34" s="934">
        <f t="shared" si="6"/>
        <v>0</v>
      </c>
      <c r="AL34" s="934">
        <f t="shared" si="6"/>
        <v>0</v>
      </c>
      <c r="AM34" s="934">
        <f t="shared" si="6"/>
        <v>0</v>
      </c>
      <c r="AN34" s="934">
        <f t="shared" si="6"/>
        <v>0</v>
      </c>
      <c r="AO34" s="934">
        <f t="shared" si="6"/>
        <v>0</v>
      </c>
      <c r="AP34" s="934">
        <f t="shared" si="6"/>
        <v>0</v>
      </c>
      <c r="AQ34" s="934">
        <f t="shared" si="6"/>
        <v>0</v>
      </c>
    </row>
    <row r="35" spans="1:43" x14ac:dyDescent="0.2">
      <c r="F35" s="331"/>
      <c r="G35" s="331"/>
    </row>
    <row r="36" spans="1:43" x14ac:dyDescent="0.2">
      <c r="E36" s="336" t="str">
        <f>'ORT aansluitingen'!F68</f>
        <v>Aantal aansluitingen gestapeld</v>
      </c>
      <c r="F36" s="338">
        <f>SUM(M36:AQ36)</f>
        <v>0</v>
      </c>
      <c r="G36" s="338" t="s">
        <v>231</v>
      </c>
      <c r="H36" s="343"/>
      <c r="I36" s="343"/>
      <c r="J36" s="343"/>
      <c r="K36" s="343"/>
      <c r="L36" s="343"/>
      <c r="M36" s="338">
        <f>'ORT aansluitingen'!U68</f>
        <v>0</v>
      </c>
      <c r="N36" s="338">
        <f>'ORT aansluitingen'!V68</f>
        <v>0</v>
      </c>
      <c r="O36" s="338">
        <f>'ORT aansluitingen'!W68</f>
        <v>0</v>
      </c>
      <c r="P36" s="338">
        <f>'ORT aansluitingen'!X68</f>
        <v>0</v>
      </c>
      <c r="Q36" s="338">
        <f>'ORT aansluitingen'!Y68</f>
        <v>0</v>
      </c>
      <c r="R36" s="338">
        <f>'ORT aansluitingen'!Z68</f>
        <v>0</v>
      </c>
      <c r="S36" s="338">
        <f>'ORT aansluitingen'!AA68</f>
        <v>0</v>
      </c>
      <c r="T36" s="338">
        <f>'ORT aansluitingen'!AB68</f>
        <v>0</v>
      </c>
      <c r="U36" s="338">
        <f>'ORT aansluitingen'!AC68</f>
        <v>0</v>
      </c>
      <c r="V36" s="338">
        <f>'ORT aansluitingen'!AD68</f>
        <v>0</v>
      </c>
      <c r="W36" s="338">
        <f>'ORT aansluitingen'!AE68</f>
        <v>0</v>
      </c>
      <c r="X36" s="338">
        <f>'ORT aansluitingen'!AF68</f>
        <v>0</v>
      </c>
      <c r="Y36" s="338">
        <f>'ORT aansluitingen'!AG68</f>
        <v>0</v>
      </c>
      <c r="Z36" s="338">
        <f>'ORT aansluitingen'!AH68</f>
        <v>0</v>
      </c>
      <c r="AA36" s="338">
        <f>'ORT aansluitingen'!AI68</f>
        <v>0</v>
      </c>
      <c r="AB36" s="338">
        <f>'ORT aansluitingen'!AJ68+'ORT aansluitingen'!U68</f>
        <v>0</v>
      </c>
      <c r="AC36" s="338">
        <f>'ORT aansluitingen'!AK68+'ORT aansluitingen'!V68</f>
        <v>0</v>
      </c>
      <c r="AD36" s="338">
        <f>'ORT aansluitingen'!AL68+'ORT aansluitingen'!W68</f>
        <v>0</v>
      </c>
      <c r="AE36" s="338">
        <f>'ORT aansluitingen'!AM68+'ORT aansluitingen'!X68</f>
        <v>0</v>
      </c>
      <c r="AF36" s="338">
        <f>'ORT aansluitingen'!AN68+'ORT aansluitingen'!Y68</f>
        <v>0</v>
      </c>
      <c r="AG36" s="338">
        <f>'ORT aansluitingen'!AO68+'ORT aansluitingen'!Z68</f>
        <v>0</v>
      </c>
      <c r="AH36" s="338">
        <f>'ORT aansluitingen'!AP68+'ORT aansluitingen'!AA68</f>
        <v>0</v>
      </c>
      <c r="AI36" s="338">
        <f>'ORT aansluitingen'!AQ68+'ORT aansluitingen'!AB68</f>
        <v>0</v>
      </c>
      <c r="AJ36" s="338">
        <f>'ORT aansluitingen'!AR68+'ORT aansluitingen'!AC68</f>
        <v>0</v>
      </c>
      <c r="AK36" s="338">
        <f>'ORT aansluitingen'!AS68+'ORT aansluitingen'!AD68</f>
        <v>0</v>
      </c>
      <c r="AL36" s="338">
        <f>'ORT aansluitingen'!AT68+'ORT aansluitingen'!AE68</f>
        <v>0</v>
      </c>
      <c r="AM36" s="338">
        <f>'ORT aansluitingen'!AU68+'ORT aansluitingen'!AF68</f>
        <v>0</v>
      </c>
      <c r="AN36" s="338">
        <f>'ORT aansluitingen'!AV68+'ORT aansluitingen'!AG68</f>
        <v>0</v>
      </c>
      <c r="AO36" s="338">
        <f>'ORT aansluitingen'!AW68+'ORT aansluitingen'!AH68</f>
        <v>0</v>
      </c>
      <c r="AP36" s="338">
        <f>'ORT aansluitingen'!AX68+'ORT aansluitingen'!AI68</f>
        <v>0</v>
      </c>
      <c r="AQ36" s="338">
        <f>'ORT aansluitingen'!AY68+'ORT aansluitingen'!AJ68</f>
        <v>0</v>
      </c>
    </row>
    <row r="37" spans="1:43" s="338" customFormat="1" x14ac:dyDescent="0.2">
      <c r="A37" s="352"/>
      <c r="E37" s="411" t="str">
        <f>'ORT uitgangspunten'!E58</f>
        <v xml:space="preserve">Kosten warmtewisselaar / afleversets + meter gestapelde.w. </v>
      </c>
      <c r="F37" s="325">
        <f>'ORT uitgangspunten'!G57</f>
        <v>0</v>
      </c>
      <c r="G37" s="325" t="s">
        <v>227</v>
      </c>
    </row>
    <row r="38" spans="1:43" s="414" customFormat="1" x14ac:dyDescent="0.2">
      <c r="E38" s="934" t="s">
        <v>363</v>
      </c>
      <c r="H38" s="935"/>
      <c r="I38" s="935"/>
      <c r="J38" s="935"/>
      <c r="K38" s="935"/>
      <c r="L38" s="935"/>
      <c r="M38" s="934">
        <f>M10 * M36 * $F$37</f>
        <v>0</v>
      </c>
      <c r="N38" s="934">
        <f t="shared" ref="N38:AA38" si="7">N10 * N36 * $F$37</f>
        <v>0</v>
      </c>
      <c r="O38" s="934">
        <f t="shared" si="7"/>
        <v>0</v>
      </c>
      <c r="P38" s="934">
        <f t="shared" si="7"/>
        <v>0</v>
      </c>
      <c r="Q38" s="934">
        <f t="shared" si="7"/>
        <v>0</v>
      </c>
      <c r="R38" s="934">
        <f t="shared" si="7"/>
        <v>0</v>
      </c>
      <c r="S38" s="934">
        <f t="shared" si="7"/>
        <v>0</v>
      </c>
      <c r="T38" s="934">
        <f t="shared" si="7"/>
        <v>0</v>
      </c>
      <c r="U38" s="934">
        <f t="shared" si="7"/>
        <v>0</v>
      </c>
      <c r="V38" s="934">
        <f t="shared" si="7"/>
        <v>0</v>
      </c>
      <c r="W38" s="934">
        <f t="shared" si="7"/>
        <v>0</v>
      </c>
      <c r="X38" s="934">
        <f t="shared" si="7"/>
        <v>0</v>
      </c>
      <c r="Y38" s="934">
        <f t="shared" si="7"/>
        <v>0</v>
      </c>
      <c r="Z38" s="934">
        <f t="shared" si="7"/>
        <v>0</v>
      </c>
      <c r="AA38" s="934">
        <f t="shared" si="7"/>
        <v>0</v>
      </c>
      <c r="AB38" s="934">
        <f>(AB9-M9+1) * AB36 * $F$37</f>
        <v>0</v>
      </c>
      <c r="AC38" s="934">
        <f t="shared" ref="AC38:AQ38" si="8">(AC9-N9+1) * AC36 * $F$37</f>
        <v>0</v>
      </c>
      <c r="AD38" s="934">
        <f t="shared" si="8"/>
        <v>0</v>
      </c>
      <c r="AE38" s="934">
        <f t="shared" si="8"/>
        <v>0</v>
      </c>
      <c r="AF38" s="934">
        <f t="shared" si="8"/>
        <v>0</v>
      </c>
      <c r="AG38" s="934">
        <f t="shared" si="8"/>
        <v>0</v>
      </c>
      <c r="AH38" s="934">
        <f t="shared" si="8"/>
        <v>0</v>
      </c>
      <c r="AI38" s="934">
        <f t="shared" si="8"/>
        <v>0</v>
      </c>
      <c r="AJ38" s="934">
        <f t="shared" si="8"/>
        <v>0</v>
      </c>
      <c r="AK38" s="934">
        <f t="shared" si="8"/>
        <v>0</v>
      </c>
      <c r="AL38" s="934">
        <f t="shared" si="8"/>
        <v>0</v>
      </c>
      <c r="AM38" s="934">
        <f t="shared" si="8"/>
        <v>0</v>
      </c>
      <c r="AN38" s="934">
        <f t="shared" si="8"/>
        <v>0</v>
      </c>
      <c r="AO38" s="934">
        <f t="shared" si="8"/>
        <v>0</v>
      </c>
      <c r="AP38" s="934">
        <f t="shared" si="8"/>
        <v>0</v>
      </c>
      <c r="AQ38" s="934">
        <f t="shared" si="8"/>
        <v>0</v>
      </c>
    </row>
    <row r="39" spans="1:43" s="415" customFormat="1" x14ac:dyDescent="0.2">
      <c r="A39" s="414"/>
      <c r="E39" s="354"/>
      <c r="F39" s="354"/>
      <c r="G39" s="354"/>
      <c r="H39" s="343"/>
      <c r="I39" s="343"/>
      <c r="J39" s="343"/>
      <c r="K39" s="343"/>
      <c r="L39" s="343"/>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row>
    <row r="40" spans="1:43" s="415" customFormat="1" x14ac:dyDescent="0.2">
      <c r="A40" s="414"/>
      <c r="E40" s="411" t="str">
        <f>'ORT uitgangspunten'!E60</f>
        <v>Loonkosten en kosten derden</v>
      </c>
      <c r="F40" s="411">
        <f>'ORT uitgangspunten'!G60</f>
        <v>0</v>
      </c>
      <c r="G40" s="411"/>
      <c r="H40" s="343"/>
      <c r="I40" s="343"/>
      <c r="J40" s="343"/>
      <c r="K40" s="343"/>
      <c r="L40" s="343"/>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row>
    <row r="41" spans="1:43" s="415" customFormat="1" x14ac:dyDescent="0.2">
      <c r="A41" s="414"/>
      <c r="E41" s="336" t="s">
        <v>409</v>
      </c>
      <c r="F41" s="338"/>
      <c r="G41" s="337" t="s">
        <v>274</v>
      </c>
      <c r="H41" s="343"/>
      <c r="I41" s="343"/>
      <c r="J41" s="343"/>
      <c r="K41" s="343"/>
      <c r="L41" s="343"/>
      <c r="M41" s="337">
        <f>'ORT aansluitingen'!U$89</f>
        <v>0</v>
      </c>
      <c r="N41" s="337">
        <f>'ORT aansluitingen'!V$89</f>
        <v>0</v>
      </c>
      <c r="O41" s="337">
        <f>'ORT aansluitingen'!W$89</f>
        <v>0</v>
      </c>
      <c r="P41" s="337">
        <f>'ORT aansluitingen'!X$89</f>
        <v>0</v>
      </c>
      <c r="Q41" s="337">
        <f>'ORT aansluitingen'!Y$89</f>
        <v>0</v>
      </c>
      <c r="R41" s="337">
        <f>'ORT aansluitingen'!Z$89</f>
        <v>0</v>
      </c>
      <c r="S41" s="337">
        <f>'ORT aansluitingen'!AA$89</f>
        <v>0</v>
      </c>
      <c r="T41" s="337">
        <f>'ORT aansluitingen'!AB$89</f>
        <v>0</v>
      </c>
      <c r="U41" s="337">
        <f>'ORT aansluitingen'!AC$89</f>
        <v>0</v>
      </c>
      <c r="V41" s="337">
        <f>'ORT aansluitingen'!AD$89</f>
        <v>0</v>
      </c>
      <c r="W41" s="337">
        <f>'ORT aansluitingen'!AE$89</f>
        <v>0</v>
      </c>
      <c r="X41" s="337">
        <f>'ORT aansluitingen'!AF$89</f>
        <v>0</v>
      </c>
      <c r="Y41" s="337">
        <f>'ORT aansluitingen'!AG$89</f>
        <v>0</v>
      </c>
      <c r="Z41" s="337">
        <f>'ORT aansluitingen'!AH$89</f>
        <v>0</v>
      </c>
      <c r="AA41" s="337">
        <f>'ORT aansluitingen'!AI$89</f>
        <v>0</v>
      </c>
      <c r="AB41" s="337">
        <f>'ORT aansluitingen'!AJ$89</f>
        <v>0</v>
      </c>
      <c r="AC41" s="337">
        <f>'ORT aansluitingen'!AK$89</f>
        <v>0</v>
      </c>
      <c r="AD41" s="337">
        <f>'ORT aansluitingen'!AL$89</f>
        <v>0</v>
      </c>
      <c r="AE41" s="337">
        <f>'ORT aansluitingen'!AM$89</f>
        <v>0</v>
      </c>
      <c r="AF41" s="337">
        <f>'ORT aansluitingen'!AN$89</f>
        <v>0</v>
      </c>
      <c r="AG41" s="337">
        <f>'ORT aansluitingen'!AO$89</f>
        <v>0</v>
      </c>
      <c r="AH41" s="337">
        <f>'ORT aansluitingen'!AP$89</f>
        <v>0</v>
      </c>
      <c r="AI41" s="337">
        <f>'ORT aansluitingen'!AQ$89</f>
        <v>0</v>
      </c>
      <c r="AJ41" s="337">
        <f>'ORT aansluitingen'!AR$89</f>
        <v>0</v>
      </c>
      <c r="AK41" s="337">
        <f>'ORT aansluitingen'!AS$89</f>
        <v>0</v>
      </c>
      <c r="AL41" s="337">
        <f>'ORT aansluitingen'!AT$89</f>
        <v>0</v>
      </c>
      <c r="AM41" s="337">
        <f>'ORT aansluitingen'!AU$89</f>
        <v>0</v>
      </c>
      <c r="AN41" s="337">
        <f>'ORT aansluitingen'!AV$89</f>
        <v>0</v>
      </c>
      <c r="AO41" s="337">
        <f>'ORT aansluitingen'!AW$89</f>
        <v>0</v>
      </c>
      <c r="AP41" s="337">
        <f>'ORT aansluitingen'!AX$89</f>
        <v>0</v>
      </c>
      <c r="AQ41" s="337">
        <f>'ORT aansluitingen'!AY$89</f>
        <v>0</v>
      </c>
    </row>
    <row r="42" spans="1:43" s="415" customFormat="1" x14ac:dyDescent="0.2">
      <c r="A42" s="414"/>
      <c r="E42" s="354" t="s">
        <v>410</v>
      </c>
      <c r="F42" s="354"/>
      <c r="G42" s="354"/>
      <c r="H42" s="343"/>
      <c r="I42" s="343"/>
      <c r="J42" s="343"/>
      <c r="K42" s="343"/>
      <c r="L42" s="343"/>
      <c r="M42" s="362">
        <f>$F$40*M$10*M$41</f>
        <v>0</v>
      </c>
      <c r="N42" s="362">
        <f t="shared" ref="N42:AQ42" si="9">$F$40*N$10*N$41</f>
        <v>0</v>
      </c>
      <c r="O42" s="362">
        <f t="shared" si="9"/>
        <v>0</v>
      </c>
      <c r="P42" s="362">
        <f t="shared" si="9"/>
        <v>0</v>
      </c>
      <c r="Q42" s="362">
        <f t="shared" si="9"/>
        <v>0</v>
      </c>
      <c r="R42" s="362">
        <f t="shared" si="9"/>
        <v>0</v>
      </c>
      <c r="S42" s="362">
        <f t="shared" si="9"/>
        <v>0</v>
      </c>
      <c r="T42" s="362">
        <f t="shared" si="9"/>
        <v>0</v>
      </c>
      <c r="U42" s="362">
        <f t="shared" si="9"/>
        <v>0</v>
      </c>
      <c r="V42" s="362">
        <f t="shared" si="9"/>
        <v>0</v>
      </c>
      <c r="W42" s="362">
        <f t="shared" si="9"/>
        <v>0</v>
      </c>
      <c r="X42" s="362">
        <f t="shared" si="9"/>
        <v>0</v>
      </c>
      <c r="Y42" s="362">
        <f t="shared" si="9"/>
        <v>0</v>
      </c>
      <c r="Z42" s="362">
        <f t="shared" si="9"/>
        <v>0</v>
      </c>
      <c r="AA42" s="362">
        <f t="shared" si="9"/>
        <v>0</v>
      </c>
      <c r="AB42" s="362">
        <f t="shared" si="9"/>
        <v>0</v>
      </c>
      <c r="AC42" s="362">
        <f t="shared" si="9"/>
        <v>0</v>
      </c>
      <c r="AD42" s="362">
        <f t="shared" si="9"/>
        <v>0</v>
      </c>
      <c r="AE42" s="362">
        <f t="shared" si="9"/>
        <v>0</v>
      </c>
      <c r="AF42" s="362">
        <f t="shared" si="9"/>
        <v>0</v>
      </c>
      <c r="AG42" s="362">
        <f t="shared" si="9"/>
        <v>0</v>
      </c>
      <c r="AH42" s="362">
        <f t="shared" si="9"/>
        <v>0</v>
      </c>
      <c r="AI42" s="362">
        <f t="shared" si="9"/>
        <v>0</v>
      </c>
      <c r="AJ42" s="362">
        <f t="shared" si="9"/>
        <v>0</v>
      </c>
      <c r="AK42" s="362">
        <f t="shared" si="9"/>
        <v>0</v>
      </c>
      <c r="AL42" s="362">
        <f t="shared" si="9"/>
        <v>0</v>
      </c>
      <c r="AM42" s="362">
        <f t="shared" si="9"/>
        <v>0</v>
      </c>
      <c r="AN42" s="362">
        <f t="shared" si="9"/>
        <v>0</v>
      </c>
      <c r="AO42" s="362">
        <f t="shared" si="9"/>
        <v>0</v>
      </c>
      <c r="AP42" s="362">
        <f t="shared" si="9"/>
        <v>0</v>
      </c>
      <c r="AQ42" s="362">
        <f t="shared" si="9"/>
        <v>0</v>
      </c>
    </row>
    <row r="43" spans="1:43" s="415" customFormat="1" x14ac:dyDescent="0.2">
      <c r="A43" s="414"/>
      <c r="E43" s="354"/>
      <c r="F43" s="354"/>
      <c r="G43" s="354"/>
      <c r="H43" s="343"/>
      <c r="I43" s="343"/>
      <c r="J43" s="343"/>
      <c r="K43" s="343"/>
      <c r="L43" s="343"/>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row>
    <row r="44" spans="1:43" s="339" customFormat="1" x14ac:dyDescent="0.2">
      <c r="A44" s="361"/>
      <c r="E44" s="339" t="s">
        <v>362</v>
      </c>
      <c r="M44" s="360">
        <f>M14+M18+M22+M26+M30+M34+M38+M42</f>
        <v>0</v>
      </c>
      <c r="N44" s="360">
        <f t="shared" ref="N44:AQ44" si="10">N14+N18+N22+N26+N30+N34+N38+N42</f>
        <v>0</v>
      </c>
      <c r="O44" s="360">
        <f t="shared" si="10"/>
        <v>0</v>
      </c>
      <c r="P44" s="360">
        <f t="shared" si="10"/>
        <v>0</v>
      </c>
      <c r="Q44" s="360">
        <f t="shared" si="10"/>
        <v>0</v>
      </c>
      <c r="R44" s="360">
        <f t="shared" si="10"/>
        <v>0</v>
      </c>
      <c r="S44" s="360">
        <f t="shared" si="10"/>
        <v>0</v>
      </c>
      <c r="T44" s="360">
        <f t="shared" si="10"/>
        <v>0</v>
      </c>
      <c r="U44" s="360">
        <f t="shared" si="10"/>
        <v>0</v>
      </c>
      <c r="V44" s="360">
        <f t="shared" si="10"/>
        <v>0</v>
      </c>
      <c r="W44" s="360">
        <f t="shared" si="10"/>
        <v>0</v>
      </c>
      <c r="X44" s="360">
        <f t="shared" si="10"/>
        <v>0</v>
      </c>
      <c r="Y44" s="360">
        <f t="shared" si="10"/>
        <v>0</v>
      </c>
      <c r="Z44" s="360">
        <f t="shared" si="10"/>
        <v>0</v>
      </c>
      <c r="AA44" s="360">
        <f t="shared" si="10"/>
        <v>0</v>
      </c>
      <c r="AB44" s="360">
        <f t="shared" si="10"/>
        <v>0</v>
      </c>
      <c r="AC44" s="360">
        <f t="shared" si="10"/>
        <v>0</v>
      </c>
      <c r="AD44" s="360">
        <f t="shared" si="10"/>
        <v>0</v>
      </c>
      <c r="AE44" s="360">
        <f t="shared" si="10"/>
        <v>0</v>
      </c>
      <c r="AF44" s="360">
        <f t="shared" si="10"/>
        <v>0</v>
      </c>
      <c r="AG44" s="360">
        <f t="shared" si="10"/>
        <v>0</v>
      </c>
      <c r="AH44" s="360">
        <f t="shared" si="10"/>
        <v>0</v>
      </c>
      <c r="AI44" s="360">
        <f t="shared" si="10"/>
        <v>0</v>
      </c>
      <c r="AJ44" s="360">
        <f t="shared" si="10"/>
        <v>0</v>
      </c>
      <c r="AK44" s="360">
        <f t="shared" si="10"/>
        <v>0</v>
      </c>
      <c r="AL44" s="360">
        <f t="shared" si="10"/>
        <v>0</v>
      </c>
      <c r="AM44" s="360">
        <f t="shared" si="10"/>
        <v>0</v>
      </c>
      <c r="AN44" s="360">
        <f t="shared" si="10"/>
        <v>0</v>
      </c>
      <c r="AO44" s="360">
        <f t="shared" si="10"/>
        <v>0</v>
      </c>
      <c r="AP44" s="360">
        <f t="shared" si="10"/>
        <v>0</v>
      </c>
      <c r="AQ44" s="360">
        <f t="shared" si="10"/>
        <v>0</v>
      </c>
    </row>
    <row r="45" spans="1:43" s="338" customFormat="1" x14ac:dyDescent="0.2">
      <c r="A45" s="352"/>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row>
    <row r="46" spans="1:43" x14ac:dyDescent="0.2"/>
    <row r="47" spans="1:43" x14ac:dyDescent="0.2">
      <c r="A47" s="342"/>
      <c r="B47" s="470" t="s">
        <v>361</v>
      </c>
      <c r="C47" s="471"/>
      <c r="D47" s="471"/>
      <c r="E47" s="471"/>
      <c r="F47" s="471"/>
      <c r="G47" s="471"/>
      <c r="H47" s="471"/>
      <c r="I47" s="471"/>
      <c r="J47" s="471"/>
      <c r="K47" s="471"/>
      <c r="L47" s="471"/>
    </row>
    <row r="48" spans="1:43" x14ac:dyDescent="0.2"/>
    <row r="49" spans="1:43" x14ac:dyDescent="0.2">
      <c r="E49" s="411" t="s">
        <v>360</v>
      </c>
      <c r="F49" s="411">
        <f>'ORT aansluitingen'!G23</f>
        <v>30</v>
      </c>
      <c r="G49" s="411" t="s">
        <v>274</v>
      </c>
      <c r="M49" s="411">
        <f t="shared" ref="M49:AQ49" si="11">M14+M18+M22+M26+M30</f>
        <v>0</v>
      </c>
      <c r="N49" s="411">
        <f t="shared" si="11"/>
        <v>0</v>
      </c>
      <c r="O49" s="411">
        <f t="shared" si="11"/>
        <v>0</v>
      </c>
      <c r="P49" s="411">
        <f t="shared" si="11"/>
        <v>0</v>
      </c>
      <c r="Q49" s="411">
        <f t="shared" si="11"/>
        <v>0</v>
      </c>
      <c r="R49" s="411">
        <f t="shared" si="11"/>
        <v>0</v>
      </c>
      <c r="S49" s="411">
        <f t="shared" si="11"/>
        <v>0</v>
      </c>
      <c r="T49" s="411">
        <f t="shared" si="11"/>
        <v>0</v>
      </c>
      <c r="U49" s="411">
        <f t="shared" si="11"/>
        <v>0</v>
      </c>
      <c r="V49" s="411">
        <f t="shared" si="11"/>
        <v>0</v>
      </c>
      <c r="W49" s="411">
        <f t="shared" si="11"/>
        <v>0</v>
      </c>
      <c r="X49" s="411">
        <f t="shared" si="11"/>
        <v>0</v>
      </c>
      <c r="Y49" s="411">
        <f t="shared" si="11"/>
        <v>0</v>
      </c>
      <c r="Z49" s="411">
        <f t="shared" si="11"/>
        <v>0</v>
      </c>
      <c r="AA49" s="411">
        <f t="shared" si="11"/>
        <v>0</v>
      </c>
      <c r="AB49" s="411">
        <f t="shared" si="11"/>
        <v>0</v>
      </c>
      <c r="AC49" s="411">
        <f t="shared" si="11"/>
        <v>0</v>
      </c>
      <c r="AD49" s="411">
        <f t="shared" si="11"/>
        <v>0</v>
      </c>
      <c r="AE49" s="411">
        <f t="shared" si="11"/>
        <v>0</v>
      </c>
      <c r="AF49" s="411">
        <f t="shared" si="11"/>
        <v>0</v>
      </c>
      <c r="AG49" s="411">
        <f t="shared" si="11"/>
        <v>0</v>
      </c>
      <c r="AH49" s="411">
        <f t="shared" si="11"/>
        <v>0</v>
      </c>
      <c r="AI49" s="411">
        <f t="shared" si="11"/>
        <v>0</v>
      </c>
      <c r="AJ49" s="411">
        <f t="shared" si="11"/>
        <v>0</v>
      </c>
      <c r="AK49" s="411">
        <f t="shared" si="11"/>
        <v>0</v>
      </c>
      <c r="AL49" s="411">
        <f t="shared" si="11"/>
        <v>0</v>
      </c>
      <c r="AM49" s="411">
        <f t="shared" si="11"/>
        <v>0</v>
      </c>
      <c r="AN49" s="411">
        <f t="shared" si="11"/>
        <v>0</v>
      </c>
      <c r="AO49" s="411">
        <f t="shared" si="11"/>
        <v>0</v>
      </c>
      <c r="AP49" s="411">
        <f t="shared" si="11"/>
        <v>0</v>
      </c>
      <c r="AQ49" s="411">
        <f t="shared" si="11"/>
        <v>0</v>
      </c>
    </row>
    <row r="50" spans="1:43" x14ac:dyDescent="0.2">
      <c r="E50" s="411" t="s">
        <v>357</v>
      </c>
      <c r="M50" s="411">
        <f t="shared" ref="M50:AQ50" si="12" xml:space="preserve"> IF( M$6 - $F49 &lt;= 0, 0, - INDEX($M49:$AQ49, ,M$6 - $F49))</f>
        <v>0</v>
      </c>
      <c r="N50" s="411">
        <f t="shared" si="12"/>
        <v>0</v>
      </c>
      <c r="O50" s="411">
        <f t="shared" si="12"/>
        <v>0</v>
      </c>
      <c r="P50" s="411">
        <f t="shared" si="12"/>
        <v>0</v>
      </c>
      <c r="Q50" s="411">
        <f t="shared" si="12"/>
        <v>0</v>
      </c>
      <c r="R50" s="411">
        <f t="shared" si="12"/>
        <v>0</v>
      </c>
      <c r="S50" s="411">
        <f t="shared" si="12"/>
        <v>0</v>
      </c>
      <c r="T50" s="411">
        <f t="shared" si="12"/>
        <v>0</v>
      </c>
      <c r="U50" s="411">
        <f t="shared" si="12"/>
        <v>0</v>
      </c>
      <c r="V50" s="411">
        <f t="shared" si="12"/>
        <v>0</v>
      </c>
      <c r="W50" s="411">
        <f t="shared" si="12"/>
        <v>0</v>
      </c>
      <c r="X50" s="411">
        <f t="shared" si="12"/>
        <v>0</v>
      </c>
      <c r="Y50" s="411">
        <f t="shared" si="12"/>
        <v>0</v>
      </c>
      <c r="Z50" s="411">
        <f t="shared" si="12"/>
        <v>0</v>
      </c>
      <c r="AA50" s="411">
        <f t="shared" si="12"/>
        <v>0</v>
      </c>
      <c r="AB50" s="411">
        <f t="shared" si="12"/>
        <v>0</v>
      </c>
      <c r="AC50" s="411">
        <f t="shared" si="12"/>
        <v>0</v>
      </c>
      <c r="AD50" s="411">
        <f t="shared" si="12"/>
        <v>0</v>
      </c>
      <c r="AE50" s="411">
        <f t="shared" si="12"/>
        <v>0</v>
      </c>
      <c r="AF50" s="411">
        <f t="shared" si="12"/>
        <v>0</v>
      </c>
      <c r="AG50" s="411">
        <f t="shared" si="12"/>
        <v>0</v>
      </c>
      <c r="AH50" s="411">
        <f t="shared" si="12"/>
        <v>0</v>
      </c>
      <c r="AI50" s="411">
        <f t="shared" si="12"/>
        <v>0</v>
      </c>
      <c r="AJ50" s="411">
        <f t="shared" si="12"/>
        <v>0</v>
      </c>
      <c r="AK50" s="411">
        <f t="shared" si="12"/>
        <v>0</v>
      </c>
      <c r="AL50" s="411">
        <f t="shared" si="12"/>
        <v>0</v>
      </c>
      <c r="AM50" s="411">
        <f t="shared" si="12"/>
        <v>0</v>
      </c>
      <c r="AN50" s="411">
        <f t="shared" si="12"/>
        <v>0</v>
      </c>
      <c r="AO50" s="411">
        <f t="shared" si="12"/>
        <v>0</v>
      </c>
      <c r="AP50" s="411">
        <f t="shared" si="12"/>
        <v>0</v>
      </c>
      <c r="AQ50" s="411">
        <f t="shared" si="12"/>
        <v>0</v>
      </c>
    </row>
    <row r="51" spans="1:43" s="415" customFormat="1" x14ac:dyDescent="0.2">
      <c r="A51" s="414"/>
      <c r="E51" s="354" t="s">
        <v>359</v>
      </c>
      <c r="F51" s="354"/>
      <c r="G51" s="354"/>
      <c r="H51" s="343"/>
      <c r="I51" s="343"/>
      <c r="J51" s="343"/>
      <c r="K51" s="343"/>
      <c r="L51" s="343"/>
      <c r="M51" s="354">
        <f>SUM($L49:L50)/$F$49</f>
        <v>0</v>
      </c>
      <c r="N51" s="354">
        <f>SUM($L49:M50)/$F$49</f>
        <v>0</v>
      </c>
      <c r="O51" s="354">
        <f>SUM($L49:N50)/$F$49</f>
        <v>0</v>
      </c>
      <c r="P51" s="354">
        <f>SUM($L49:O50)/$F$49</f>
        <v>0</v>
      </c>
      <c r="Q51" s="354">
        <f>SUM($L49:P50)/$F$49</f>
        <v>0</v>
      </c>
      <c r="R51" s="354">
        <f>SUM($L49:Q50)/$F$49</f>
        <v>0</v>
      </c>
      <c r="S51" s="354">
        <f>SUM($L49:R50)/$F$49</f>
        <v>0</v>
      </c>
      <c r="T51" s="354">
        <f>SUM($L49:S50)/$F$49</f>
        <v>0</v>
      </c>
      <c r="U51" s="354">
        <f>SUM($L49:T50)/$F$49</f>
        <v>0</v>
      </c>
      <c r="V51" s="354">
        <f>SUM($L49:U50)/$F$49</f>
        <v>0</v>
      </c>
      <c r="W51" s="354">
        <f>SUM($L49:V50)/$F$49</f>
        <v>0</v>
      </c>
      <c r="X51" s="354">
        <f>SUM($L49:W50)/$F$49</f>
        <v>0</v>
      </c>
      <c r="Y51" s="354">
        <f>SUM($L49:X50)/$F$49</f>
        <v>0</v>
      </c>
      <c r="Z51" s="354">
        <f>SUM($L49:Y50)/$F$49</f>
        <v>0</v>
      </c>
      <c r="AA51" s="354">
        <f>SUM($L49:Z50)/$F$49</f>
        <v>0</v>
      </c>
      <c r="AB51" s="354">
        <f>SUM($L49:AA50)/$F$49</f>
        <v>0</v>
      </c>
      <c r="AC51" s="354">
        <f>SUM($L49:AB50)/$F$49</f>
        <v>0</v>
      </c>
      <c r="AD51" s="354">
        <f>SUM($L49:AC50)/$F$49</f>
        <v>0</v>
      </c>
      <c r="AE51" s="354">
        <f>SUM($L49:AD50)/$F$49</f>
        <v>0</v>
      </c>
      <c r="AF51" s="354">
        <f>SUM($L49:AE50)/$F$49</f>
        <v>0</v>
      </c>
      <c r="AG51" s="354">
        <f>SUM($L49:AF50)/$F$49</f>
        <v>0</v>
      </c>
      <c r="AH51" s="354">
        <f>SUM($L49:AG50)/$F$49</f>
        <v>0</v>
      </c>
      <c r="AI51" s="354">
        <f>SUM($L49:AH50)/$F$49</f>
        <v>0</v>
      </c>
      <c r="AJ51" s="354">
        <f>SUM($L49:AI50)/$F$49</f>
        <v>0</v>
      </c>
      <c r="AK51" s="354">
        <f>SUM($L49:AJ50)/$F$49</f>
        <v>0</v>
      </c>
      <c r="AL51" s="354">
        <f>SUM($L49:AK50)/$F$49</f>
        <v>0</v>
      </c>
      <c r="AM51" s="354">
        <f>SUM($L49:AL50)/$F$49</f>
        <v>0</v>
      </c>
      <c r="AN51" s="354">
        <f>SUM($L49:AM50)/$F$49</f>
        <v>0</v>
      </c>
      <c r="AO51" s="354">
        <f>SUM($L49:AN50)/$F$49</f>
        <v>0</v>
      </c>
      <c r="AP51" s="354">
        <f>SUM($L49:AO50)/$F$49</f>
        <v>0</v>
      </c>
      <c r="AQ51" s="354">
        <f>SUM($L49:AP50)/$F$49</f>
        <v>0</v>
      </c>
    </row>
    <row r="52" spans="1:43" x14ac:dyDescent="0.2"/>
    <row r="53" spans="1:43" x14ac:dyDescent="0.2">
      <c r="E53" s="411" t="s">
        <v>358</v>
      </c>
      <c r="F53" s="411">
        <f>('ORT aansluitingen'!G86)</f>
        <v>15</v>
      </c>
      <c r="G53" s="411" t="s">
        <v>274</v>
      </c>
      <c r="M53" s="411">
        <f>M34+M38</f>
        <v>0</v>
      </c>
      <c r="N53" s="411">
        <f t="shared" ref="N53:AQ53" si="13">N34+N38</f>
        <v>0</v>
      </c>
      <c r="O53" s="411">
        <f t="shared" si="13"/>
        <v>0</v>
      </c>
      <c r="P53" s="411">
        <f t="shared" si="13"/>
        <v>0</v>
      </c>
      <c r="Q53" s="411">
        <f t="shared" si="13"/>
        <v>0</v>
      </c>
      <c r="R53" s="411">
        <f t="shared" si="13"/>
        <v>0</v>
      </c>
      <c r="S53" s="411">
        <f t="shared" si="13"/>
        <v>0</v>
      </c>
      <c r="T53" s="411">
        <f t="shared" si="13"/>
        <v>0</v>
      </c>
      <c r="U53" s="411">
        <f t="shared" si="13"/>
        <v>0</v>
      </c>
      <c r="V53" s="411">
        <f t="shared" si="13"/>
        <v>0</v>
      </c>
      <c r="W53" s="411">
        <f t="shared" si="13"/>
        <v>0</v>
      </c>
      <c r="X53" s="411">
        <f t="shared" si="13"/>
        <v>0</v>
      </c>
      <c r="Y53" s="411">
        <f t="shared" si="13"/>
        <v>0</v>
      </c>
      <c r="Z53" s="411">
        <f t="shared" si="13"/>
        <v>0</v>
      </c>
      <c r="AA53" s="411">
        <f t="shared" si="13"/>
        <v>0</v>
      </c>
      <c r="AB53" s="411">
        <f t="shared" si="13"/>
        <v>0</v>
      </c>
      <c r="AC53" s="411">
        <f t="shared" si="13"/>
        <v>0</v>
      </c>
      <c r="AD53" s="411">
        <f t="shared" si="13"/>
        <v>0</v>
      </c>
      <c r="AE53" s="411">
        <f t="shared" si="13"/>
        <v>0</v>
      </c>
      <c r="AF53" s="411">
        <f t="shared" si="13"/>
        <v>0</v>
      </c>
      <c r="AG53" s="411">
        <f t="shared" si="13"/>
        <v>0</v>
      </c>
      <c r="AH53" s="411">
        <f t="shared" si="13"/>
        <v>0</v>
      </c>
      <c r="AI53" s="411">
        <f t="shared" si="13"/>
        <v>0</v>
      </c>
      <c r="AJ53" s="411">
        <f t="shared" si="13"/>
        <v>0</v>
      </c>
      <c r="AK53" s="411">
        <f t="shared" si="13"/>
        <v>0</v>
      </c>
      <c r="AL53" s="411">
        <f t="shared" si="13"/>
        <v>0</v>
      </c>
      <c r="AM53" s="411">
        <f t="shared" si="13"/>
        <v>0</v>
      </c>
      <c r="AN53" s="411">
        <f t="shared" si="13"/>
        <v>0</v>
      </c>
      <c r="AO53" s="411">
        <f t="shared" si="13"/>
        <v>0</v>
      </c>
      <c r="AP53" s="411">
        <f t="shared" si="13"/>
        <v>0</v>
      </c>
      <c r="AQ53" s="411">
        <f t="shared" si="13"/>
        <v>0</v>
      </c>
    </row>
    <row r="54" spans="1:43" x14ac:dyDescent="0.2">
      <c r="E54" s="411" t="s">
        <v>357</v>
      </c>
      <c r="M54" s="411">
        <f t="shared" ref="M54:AQ54" si="14" xml:space="preserve"> IF( M$6 - $F53 &lt;= 0, 0, - INDEX($M53:$AQ53, ,M$6 - $F53))</f>
        <v>0</v>
      </c>
      <c r="N54" s="411">
        <f t="shared" si="14"/>
        <v>0</v>
      </c>
      <c r="O54" s="411">
        <f t="shared" si="14"/>
        <v>0</v>
      </c>
      <c r="P54" s="411">
        <f t="shared" si="14"/>
        <v>0</v>
      </c>
      <c r="Q54" s="411">
        <f t="shared" si="14"/>
        <v>0</v>
      </c>
      <c r="R54" s="411">
        <f t="shared" si="14"/>
        <v>0</v>
      </c>
      <c r="S54" s="411">
        <f t="shared" si="14"/>
        <v>0</v>
      </c>
      <c r="T54" s="411">
        <f t="shared" si="14"/>
        <v>0</v>
      </c>
      <c r="U54" s="411">
        <f t="shared" si="14"/>
        <v>0</v>
      </c>
      <c r="V54" s="411">
        <f t="shared" si="14"/>
        <v>0</v>
      </c>
      <c r="W54" s="411">
        <f t="shared" si="14"/>
        <v>0</v>
      </c>
      <c r="X54" s="411">
        <f t="shared" si="14"/>
        <v>0</v>
      </c>
      <c r="Y54" s="411">
        <f t="shared" si="14"/>
        <v>0</v>
      </c>
      <c r="Z54" s="411">
        <f t="shared" si="14"/>
        <v>0</v>
      </c>
      <c r="AA54" s="411">
        <f t="shared" si="14"/>
        <v>0</v>
      </c>
      <c r="AB54" s="411">
        <f t="shared" si="14"/>
        <v>0</v>
      </c>
      <c r="AC54" s="411">
        <f t="shared" si="14"/>
        <v>0</v>
      </c>
      <c r="AD54" s="411">
        <f t="shared" si="14"/>
        <v>0</v>
      </c>
      <c r="AE54" s="411">
        <f t="shared" si="14"/>
        <v>0</v>
      </c>
      <c r="AF54" s="411">
        <f t="shared" si="14"/>
        <v>0</v>
      </c>
      <c r="AG54" s="411">
        <f t="shared" si="14"/>
        <v>0</v>
      </c>
      <c r="AH54" s="411">
        <f t="shared" si="14"/>
        <v>0</v>
      </c>
      <c r="AI54" s="411">
        <f t="shared" si="14"/>
        <v>0</v>
      </c>
      <c r="AJ54" s="411">
        <f t="shared" si="14"/>
        <v>0</v>
      </c>
      <c r="AK54" s="411">
        <f t="shared" si="14"/>
        <v>0</v>
      </c>
      <c r="AL54" s="411">
        <f t="shared" si="14"/>
        <v>0</v>
      </c>
      <c r="AM54" s="411">
        <f t="shared" si="14"/>
        <v>0</v>
      </c>
      <c r="AN54" s="411">
        <f t="shared" si="14"/>
        <v>0</v>
      </c>
      <c r="AO54" s="411">
        <f t="shared" si="14"/>
        <v>0</v>
      </c>
      <c r="AP54" s="411">
        <f t="shared" si="14"/>
        <v>0</v>
      </c>
      <c r="AQ54" s="411">
        <f t="shared" si="14"/>
        <v>0</v>
      </c>
    </row>
    <row r="55" spans="1:43" s="415" customFormat="1" x14ac:dyDescent="0.2">
      <c r="A55" s="414"/>
      <c r="E55" s="354" t="s">
        <v>356</v>
      </c>
      <c r="F55" s="354"/>
      <c r="G55" s="354"/>
      <c r="H55" s="343"/>
      <c r="I55" s="343"/>
      <c r="J55" s="343"/>
      <c r="K55" s="343"/>
      <c r="L55" s="343"/>
      <c r="M55" s="354">
        <f>SUM($L53:L54)/$F$53</f>
        <v>0</v>
      </c>
      <c r="N55" s="354">
        <f>SUM($L53:M54)/$F$53</f>
        <v>0</v>
      </c>
      <c r="O55" s="354">
        <f>SUM($L53:N54)/$F$53</f>
        <v>0</v>
      </c>
      <c r="P55" s="354">
        <f>SUM($L53:O54)/$F$53</f>
        <v>0</v>
      </c>
      <c r="Q55" s="354">
        <f>SUM($L53:P54)/$F$53</f>
        <v>0</v>
      </c>
      <c r="R55" s="354">
        <f>SUM($L53:Q54)/$F$53</f>
        <v>0</v>
      </c>
      <c r="S55" s="354">
        <f>SUM($L53:R54)/$F$53</f>
        <v>0</v>
      </c>
      <c r="T55" s="354">
        <f>SUM($L53:S54)/$F$53</f>
        <v>0</v>
      </c>
      <c r="U55" s="354">
        <f>SUM($L53:T54)/$F$53</f>
        <v>0</v>
      </c>
      <c r="V55" s="354">
        <f>SUM($L53:U54)/$F$53</f>
        <v>0</v>
      </c>
      <c r="W55" s="354">
        <f>SUM($L53:V54)/$F$53</f>
        <v>0</v>
      </c>
      <c r="X55" s="354">
        <f>SUM($L53:W54)/$F$53</f>
        <v>0</v>
      </c>
      <c r="Y55" s="354">
        <f>SUM($L53:X54)/$F$53</f>
        <v>0</v>
      </c>
      <c r="Z55" s="354">
        <f>SUM($L53:Y54)/$F$53</f>
        <v>0</v>
      </c>
      <c r="AA55" s="354">
        <f>SUM($L53:Z54)/$F$53</f>
        <v>0</v>
      </c>
      <c r="AB55" s="354">
        <f>SUM($L53:AA54)/$F$53</f>
        <v>0</v>
      </c>
      <c r="AC55" s="354">
        <f>SUM($L53:AB54)/$F$53</f>
        <v>0</v>
      </c>
      <c r="AD55" s="354">
        <f>SUM($L53:AC54)/$F$53</f>
        <v>0</v>
      </c>
      <c r="AE55" s="354">
        <f>SUM($L53:AD54)/$F$53</f>
        <v>0</v>
      </c>
      <c r="AF55" s="354">
        <f>SUM($L53:AE54)/$F$53</f>
        <v>0</v>
      </c>
      <c r="AG55" s="354">
        <f>SUM($L53:AF54)/$F$53</f>
        <v>0</v>
      </c>
      <c r="AH55" s="354">
        <f>SUM($L53:AG54)/$F$53</f>
        <v>0</v>
      </c>
      <c r="AI55" s="354">
        <f>SUM($L53:AH54)/$F$53</f>
        <v>0</v>
      </c>
      <c r="AJ55" s="354">
        <f>SUM($L53:AI54)/$F$53</f>
        <v>0</v>
      </c>
      <c r="AK55" s="354">
        <f>SUM($L53:AJ54)/$F$53</f>
        <v>0</v>
      </c>
      <c r="AL55" s="354">
        <f>SUM($L53:AK54)/$F$53</f>
        <v>0</v>
      </c>
      <c r="AM55" s="354">
        <f>SUM($L53:AL54)/$F$53</f>
        <v>0</v>
      </c>
      <c r="AN55" s="354">
        <f>SUM($L53:AM54)/$F$53</f>
        <v>0</v>
      </c>
      <c r="AO55" s="354">
        <f>SUM($L53:AN54)/$F$53</f>
        <v>0</v>
      </c>
      <c r="AP55" s="354">
        <f>SUM($L53:AO54)/$F$53</f>
        <v>0</v>
      </c>
      <c r="AQ55" s="354">
        <f>SUM($L53:AP54)/$F$53</f>
        <v>0</v>
      </c>
    </row>
    <row r="56" spans="1:43" x14ac:dyDescent="0.2"/>
    <row r="57" spans="1:43" x14ac:dyDescent="0.2">
      <c r="E57" s="324" t="s">
        <v>355</v>
      </c>
      <c r="M57" s="411">
        <f t="shared" ref="M57:AQ57" si="15">M51+M55</f>
        <v>0</v>
      </c>
      <c r="N57" s="411">
        <f t="shared" si="15"/>
        <v>0</v>
      </c>
      <c r="O57" s="411">
        <f t="shared" si="15"/>
        <v>0</v>
      </c>
      <c r="P57" s="411">
        <f t="shared" si="15"/>
        <v>0</v>
      </c>
      <c r="Q57" s="411">
        <f t="shared" si="15"/>
        <v>0</v>
      </c>
      <c r="R57" s="411">
        <f t="shared" si="15"/>
        <v>0</v>
      </c>
      <c r="S57" s="411">
        <f t="shared" si="15"/>
        <v>0</v>
      </c>
      <c r="T57" s="411">
        <f t="shared" si="15"/>
        <v>0</v>
      </c>
      <c r="U57" s="411">
        <f t="shared" si="15"/>
        <v>0</v>
      </c>
      <c r="V57" s="411">
        <f t="shared" si="15"/>
        <v>0</v>
      </c>
      <c r="W57" s="411">
        <f t="shared" si="15"/>
        <v>0</v>
      </c>
      <c r="X57" s="411">
        <f t="shared" si="15"/>
        <v>0</v>
      </c>
      <c r="Y57" s="411">
        <f t="shared" si="15"/>
        <v>0</v>
      </c>
      <c r="Z57" s="411">
        <f t="shared" si="15"/>
        <v>0</v>
      </c>
      <c r="AA57" s="411">
        <f t="shared" si="15"/>
        <v>0</v>
      </c>
      <c r="AB57" s="411">
        <f t="shared" si="15"/>
        <v>0</v>
      </c>
      <c r="AC57" s="411">
        <f t="shared" si="15"/>
        <v>0</v>
      </c>
      <c r="AD57" s="411">
        <f t="shared" si="15"/>
        <v>0</v>
      </c>
      <c r="AE57" s="411">
        <f t="shared" si="15"/>
        <v>0</v>
      </c>
      <c r="AF57" s="411">
        <f t="shared" si="15"/>
        <v>0</v>
      </c>
      <c r="AG57" s="411">
        <f t="shared" si="15"/>
        <v>0</v>
      </c>
      <c r="AH57" s="411">
        <f t="shared" si="15"/>
        <v>0</v>
      </c>
      <c r="AI57" s="411">
        <f t="shared" si="15"/>
        <v>0</v>
      </c>
      <c r="AJ57" s="411">
        <f t="shared" si="15"/>
        <v>0</v>
      </c>
      <c r="AK57" s="411">
        <f t="shared" si="15"/>
        <v>0</v>
      </c>
      <c r="AL57" s="411">
        <f t="shared" si="15"/>
        <v>0</v>
      </c>
      <c r="AM57" s="411">
        <f t="shared" si="15"/>
        <v>0</v>
      </c>
      <c r="AN57" s="411">
        <f t="shared" si="15"/>
        <v>0</v>
      </c>
      <c r="AO57" s="411">
        <f t="shared" si="15"/>
        <v>0</v>
      </c>
      <c r="AP57" s="411">
        <f t="shared" si="15"/>
        <v>0</v>
      </c>
      <c r="AQ57" s="411">
        <f t="shared" si="15"/>
        <v>0</v>
      </c>
    </row>
    <row r="58" spans="1:43" x14ac:dyDescent="0.2">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row>
    <row r="59" spans="1:43" x14ac:dyDescent="0.2">
      <c r="A59" s="342"/>
      <c r="B59" s="470" t="s">
        <v>354</v>
      </c>
      <c r="C59" s="471"/>
      <c r="D59" s="471"/>
      <c r="E59" s="471"/>
      <c r="F59" s="471"/>
      <c r="G59" s="471"/>
      <c r="H59" s="471"/>
      <c r="I59" s="471"/>
      <c r="J59" s="471"/>
      <c r="K59" s="471"/>
      <c r="L59" s="471"/>
    </row>
    <row r="60" spans="1:43" x14ac:dyDescent="0.2"/>
    <row r="61" spans="1:43" s="415" customFormat="1" x14ac:dyDescent="0.2">
      <c r="A61" s="413"/>
      <c r="B61" s="411"/>
      <c r="C61" s="413"/>
      <c r="D61" s="411"/>
      <c r="E61" s="411" t="str">
        <f>'ORT uitgangspunten'!E65</f>
        <v>Onderhoudskosten warmtenetten - leidingen</v>
      </c>
      <c r="F61" s="341">
        <f>'ORT uitgangspunten'!G65</f>
        <v>0.01</v>
      </c>
      <c r="G61" s="411" t="str">
        <f>'ORT uitgangspunten'!H65</f>
        <v>% van capex</v>
      </c>
      <c r="I61" s="411"/>
      <c r="J61" s="411"/>
      <c r="K61" s="411"/>
      <c r="L61" s="411"/>
    </row>
    <row r="62" spans="1:43" s="415" customFormat="1" x14ac:dyDescent="0.2">
      <c r="A62" s="413"/>
      <c r="B62" s="411"/>
      <c r="C62" s="411"/>
      <c r="D62" s="411"/>
      <c r="E62" s="325" t="str">
        <f>'ORT uitgangspunten'!E67</f>
        <v>Onderhoudskosten overdrachtstations</v>
      </c>
      <c r="F62" s="341">
        <f>'ORT uitgangspunten'!G67</f>
        <v>0.03</v>
      </c>
      <c r="G62" s="325" t="str">
        <f>'ORT uitgangspunten'!H67</f>
        <v>% van capex</v>
      </c>
      <c r="I62" s="325"/>
      <c r="J62" s="325"/>
      <c r="K62" s="325"/>
      <c r="L62" s="325"/>
    </row>
    <row r="63" spans="1:43" s="415" customFormat="1" x14ac:dyDescent="0.2">
      <c r="A63" s="413"/>
      <c r="B63" s="411"/>
      <c r="C63" s="411"/>
      <c r="D63" s="411"/>
      <c r="E63" s="325" t="str">
        <f>'ORT uitgangspunten'!E69</f>
        <v>Onderhoudskosten aansluitingen, afleversets en meetapparatuur</v>
      </c>
      <c r="F63" s="341">
        <f>'ORT uitgangspunten'!G69</f>
        <v>2.5000000000000001E-2</v>
      </c>
      <c r="G63" s="325" t="str">
        <f>'ORT uitgangspunten'!H69</f>
        <v>% van capex</v>
      </c>
      <c r="I63" s="325"/>
      <c r="J63" s="325"/>
      <c r="K63" s="325"/>
      <c r="L63" s="325"/>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row>
    <row r="64" spans="1:43" s="415" customFormat="1" x14ac:dyDescent="0.2">
      <c r="A64" s="413"/>
      <c r="B64" s="411"/>
      <c r="C64" s="411"/>
      <c r="D64" s="411"/>
      <c r="E64" s="354" t="s">
        <v>353</v>
      </c>
      <c r="F64" s="348"/>
      <c r="G64" s="348"/>
      <c r="H64" s="348"/>
      <c r="I64" s="348"/>
      <c r="J64" s="348"/>
      <c r="K64" s="348"/>
      <c r="L64" s="348"/>
      <c r="M64" s="415">
        <f>M9 * $F$61 * (SUM($L14:L14) + SUM($L18:L18))</f>
        <v>0</v>
      </c>
      <c r="N64" s="415">
        <f>N9 * $F$61 * (SUM($L14:M14) + SUM($L18:M18))</f>
        <v>0</v>
      </c>
      <c r="O64" s="415">
        <f>O9 * $F$61 * (SUM($L14:N14) + SUM($L18:N18))</f>
        <v>0</v>
      </c>
      <c r="P64" s="415">
        <f>P9 * $F$61 * (SUM($L14:O14) + SUM($L18:O18))</f>
        <v>0</v>
      </c>
      <c r="Q64" s="415">
        <f>Q9 * $F$61 * (SUM($L14:P14) + SUM($L18:P18))</f>
        <v>0</v>
      </c>
      <c r="R64" s="415">
        <f>R9 * $F$61 * (SUM($L14:Q14) + SUM($L18:Q18))</f>
        <v>0</v>
      </c>
      <c r="S64" s="415">
        <f>S9 * $F$61 * (SUM($L14:R14) + SUM($L18:R18))</f>
        <v>0</v>
      </c>
      <c r="T64" s="415">
        <f>T9 * $F$61 * (SUM($L14:S14) + SUM($L18:S18))</f>
        <v>0</v>
      </c>
      <c r="U64" s="415">
        <f>U9 * $F$61 * (SUM($L14:T14) + SUM($L18:T18))</f>
        <v>0</v>
      </c>
      <c r="V64" s="415">
        <f>V9 * $F$61 * (SUM($L14:U14) + SUM($L18:U18))</f>
        <v>0</v>
      </c>
      <c r="W64" s="415">
        <f>W9 * $F$61 * (SUM($L14:V14) + SUM($L18:V18))</f>
        <v>0</v>
      </c>
      <c r="X64" s="415">
        <f>X9 * $F$61 * (SUM($L14:W14) + SUM($L18:W18))</f>
        <v>0</v>
      </c>
      <c r="Y64" s="415">
        <f>Y9 * $F$61 * (SUM($L14:X14) + SUM($L18:X18))</f>
        <v>0</v>
      </c>
      <c r="Z64" s="415">
        <f>Z9 * $F$61 * (SUM($L14:Y14) + SUM($L18:Y18))</f>
        <v>0</v>
      </c>
      <c r="AA64" s="415">
        <f>AA9 * $F$61 * (SUM($L14:Z14) + SUM($L18:Z18))</f>
        <v>0</v>
      </c>
      <c r="AB64" s="415">
        <f>AB9 * $F$61 * (SUM($L14:AA14) + SUM($L18:AA18))</f>
        <v>0</v>
      </c>
      <c r="AC64" s="415">
        <f>AC9 * $F$61 * (SUM($L14:AB14) + SUM($L18:AB18))</f>
        <v>0</v>
      </c>
      <c r="AD64" s="415">
        <f>AD9 * $F$61 * (SUM($L14:AC14) + SUM($L18:AC18))</f>
        <v>0</v>
      </c>
      <c r="AE64" s="415">
        <f>AE9 * $F$61 * (SUM($L14:AD14) + SUM($L18:AD18))</f>
        <v>0</v>
      </c>
      <c r="AF64" s="415">
        <f>AF9 * $F$61 * (SUM($L14:AE14) + SUM($L18:AE18))</f>
        <v>0</v>
      </c>
      <c r="AG64" s="415">
        <f>AG9 * $F$61 * (SUM($L14:AF14) + SUM($L18:AF18))</f>
        <v>0</v>
      </c>
      <c r="AH64" s="415">
        <f>AH9 * $F$61 * (SUM($L14:AG14) + SUM($L18:AG18))</f>
        <v>0</v>
      </c>
      <c r="AI64" s="415">
        <f>AI9 * $F$61 * (SUM($L14:AH14) + SUM($L18:AH18))</f>
        <v>0</v>
      </c>
      <c r="AJ64" s="415">
        <f>AJ9 * $F$61 * (SUM($L14:AI14) + SUM($L18:AI18))</f>
        <v>0</v>
      </c>
      <c r="AK64" s="415">
        <f>AK9 * $F$61 * (SUM($L14:AJ14) + SUM($L18:AJ18))</f>
        <v>0</v>
      </c>
      <c r="AL64" s="415">
        <f>AL9 * $F$61 * (SUM($L14:AK14) + SUM($L18:AK18))</f>
        <v>0</v>
      </c>
      <c r="AM64" s="415">
        <f>AM9 * $F$61 * (SUM($L14:AL14) + SUM($L18:AL18))</f>
        <v>0</v>
      </c>
      <c r="AN64" s="415">
        <f>AN9 * $F$61 * (SUM($L14:AM14) + SUM($L18:AM18))</f>
        <v>0</v>
      </c>
      <c r="AO64" s="415">
        <f>AO9 * $F$61 * (SUM($L14:AN14) + SUM($L18:AN18))</f>
        <v>0</v>
      </c>
      <c r="AP64" s="415">
        <f>AP9 * $F$61 * (SUM($L14:AO14) + SUM($L18:AO18))</f>
        <v>0</v>
      </c>
      <c r="AQ64" s="415">
        <f>AQ9 * $F$61 * (SUM($L14:AP14) + SUM($L18:AP18))</f>
        <v>0</v>
      </c>
    </row>
    <row r="65" spans="1:43" s="415" customFormat="1" x14ac:dyDescent="0.2">
      <c r="A65" s="413"/>
      <c r="B65" s="411"/>
      <c r="C65" s="411"/>
      <c r="D65" s="411"/>
      <c r="E65" s="354" t="s">
        <v>352</v>
      </c>
      <c r="F65" s="343"/>
      <c r="G65" s="343"/>
      <c r="H65" s="343"/>
      <c r="I65" s="343"/>
      <c r="J65" s="343"/>
      <c r="K65" s="343"/>
      <c r="L65" s="343"/>
      <c r="M65" s="415">
        <f>M9 * $F$62 * SUM($L22:L22)</f>
        <v>0</v>
      </c>
      <c r="N65" s="415">
        <f>N9 * $F$62 * SUM($L22:M22)</f>
        <v>0</v>
      </c>
      <c r="O65" s="415">
        <f>O9 * $F$62 * SUM($L22:N22)</f>
        <v>0</v>
      </c>
      <c r="P65" s="415">
        <f>P9 * $F$62 * SUM($L22:O22)</f>
        <v>0</v>
      </c>
      <c r="Q65" s="415">
        <f>Q9 * $F$62 * SUM($L22:P22)</f>
        <v>0</v>
      </c>
      <c r="R65" s="415">
        <f>R9 * $F$62 * SUM($L22:Q22)</f>
        <v>0</v>
      </c>
      <c r="S65" s="415">
        <f>S9 * $F$62 * SUM($L22:R22)</f>
        <v>0</v>
      </c>
      <c r="T65" s="415">
        <f>T9 * $F$62 * SUM($L22:S22)</f>
        <v>0</v>
      </c>
      <c r="U65" s="415">
        <f>U9 * $F$62 * SUM($L22:T22)</f>
        <v>0</v>
      </c>
      <c r="V65" s="415">
        <f>V9 * $F$62 * SUM($L22:U22)</f>
        <v>0</v>
      </c>
      <c r="W65" s="415">
        <f>W9 * $F$62 * SUM($L22:V22)</f>
        <v>0</v>
      </c>
      <c r="X65" s="415">
        <f>X9 * $F$62 * SUM($L22:W22)</f>
        <v>0</v>
      </c>
      <c r="Y65" s="415">
        <f>Y9 * $F$62 * SUM($L22:X22)</f>
        <v>0</v>
      </c>
      <c r="Z65" s="415">
        <f>Z9 * $F$62 * SUM($L22:Y22)</f>
        <v>0</v>
      </c>
      <c r="AA65" s="415">
        <f>AA9 * $F$62 * SUM($L22:Z22)</f>
        <v>0</v>
      </c>
      <c r="AB65" s="415">
        <f>AB9 * $F$62 * SUM($L22:AA22)</f>
        <v>0</v>
      </c>
      <c r="AC65" s="415">
        <f>AC9 * $F$62 * SUM($L22:AB22)</f>
        <v>0</v>
      </c>
      <c r="AD65" s="415">
        <f>AD9 * $F$62 * SUM($L22:AC22)</f>
        <v>0</v>
      </c>
      <c r="AE65" s="415">
        <f>AE9 * $F$62 * SUM($L22:AD22)</f>
        <v>0</v>
      </c>
      <c r="AF65" s="415">
        <f>AF9 * $F$62 * SUM($L22:AE22)</f>
        <v>0</v>
      </c>
      <c r="AG65" s="415">
        <f>AG9 * $F$62 * SUM($L22:AF22)</f>
        <v>0</v>
      </c>
      <c r="AH65" s="415">
        <f>AH9 * $F$62 * SUM($L22:AG22)</f>
        <v>0</v>
      </c>
      <c r="AI65" s="415">
        <f>AI9 * $F$62 * SUM($L22:AH22)</f>
        <v>0</v>
      </c>
      <c r="AJ65" s="415">
        <f>AJ9 * $F$62 * SUM($L22:AI22)</f>
        <v>0</v>
      </c>
      <c r="AK65" s="415">
        <f>AK9 * $F$62 * SUM($L22:AJ22)</f>
        <v>0</v>
      </c>
      <c r="AL65" s="415">
        <f>AL9 * $F$62 * SUM($L22:AK22)</f>
        <v>0</v>
      </c>
      <c r="AM65" s="415">
        <f>AM9 * $F$62 * SUM($L22:AL22)</f>
        <v>0</v>
      </c>
      <c r="AN65" s="415">
        <f>AN9 * $F$62 * SUM($L22:AM22)</f>
        <v>0</v>
      </c>
      <c r="AO65" s="415">
        <f>AO9 * $F$62 * SUM($L22:AN22)</f>
        <v>0</v>
      </c>
      <c r="AP65" s="415">
        <f>AP9 * $F$62 * SUM($L22:AO22)</f>
        <v>0</v>
      </c>
      <c r="AQ65" s="415">
        <f>AQ9 * $F$62 * SUM($L22:AP22)</f>
        <v>0</v>
      </c>
    </row>
    <row r="66" spans="1:43" s="415" customFormat="1" x14ac:dyDescent="0.2">
      <c r="A66" s="413"/>
      <c r="B66" s="411"/>
      <c r="C66" s="411"/>
      <c r="D66" s="411"/>
      <c r="E66" s="354" t="s">
        <v>351</v>
      </c>
      <c r="F66" s="343"/>
      <c r="G66" s="343"/>
      <c r="H66" s="343"/>
      <c r="I66" s="343"/>
      <c r="J66" s="343"/>
      <c r="K66" s="343"/>
      <c r="L66" s="343"/>
      <c r="M66" s="415">
        <f>M9 * $F$63 * (SUM($L26:L26) + SUM($L30:L30))</f>
        <v>0</v>
      </c>
      <c r="N66" s="415">
        <f>N9 * $F$63 * (SUM($L26:M26) + SUM($L30:M30))</f>
        <v>0</v>
      </c>
      <c r="O66" s="415">
        <f>O9 * $F$63 * (SUM($L26:N26) + SUM($L30:N30))</f>
        <v>0</v>
      </c>
      <c r="P66" s="415">
        <f>P9 * $F$63 * (SUM($L26:O26) + SUM($L30:O30))</f>
        <v>0</v>
      </c>
      <c r="Q66" s="415">
        <f>Q9 * $F$63 * (SUM($L26:P26) + SUM($L30:P30))</f>
        <v>0</v>
      </c>
      <c r="R66" s="415">
        <f>R9 * $F$63 * (SUM($L26:Q26) + SUM($L30:Q30))</f>
        <v>0</v>
      </c>
      <c r="S66" s="415">
        <f>S9 * $F$63 * (SUM($L26:R26) + SUM($L30:R30))</f>
        <v>0</v>
      </c>
      <c r="T66" s="415">
        <f>T9 * $F$63 * (SUM($L26:S26) + SUM($L30:S30))</f>
        <v>0</v>
      </c>
      <c r="U66" s="415">
        <f>U9 * $F$63 * (SUM($L26:T26) + SUM($L30:T30))</f>
        <v>0</v>
      </c>
      <c r="V66" s="415">
        <f>V9 * $F$63 * (SUM($L26:U26) + SUM($L30:U30))</f>
        <v>0</v>
      </c>
      <c r="W66" s="415">
        <f>W9 * $F$63 * (SUM($L26:V26) + SUM($L30:V30))</f>
        <v>0</v>
      </c>
      <c r="X66" s="415">
        <f>X9 * $F$63 * (SUM($L26:W26) + SUM($L30:W30))</f>
        <v>0</v>
      </c>
      <c r="Y66" s="415">
        <f>Y9 * $F$63 * (SUM($L26:X26) + SUM($L30:X30))</f>
        <v>0</v>
      </c>
      <c r="Z66" s="415">
        <f>Z9 * $F$63 * (SUM($L26:Y26) + SUM($L30:Y30))</f>
        <v>0</v>
      </c>
      <c r="AA66" s="415">
        <f>AA9 * $F$63 * (SUM($L26:Z26) + SUM($L30:Z30))</f>
        <v>0</v>
      </c>
      <c r="AB66" s="415">
        <f>AB9 * $F$63 * (SUM($L26:AA26) + SUM($L30:AA30))</f>
        <v>0</v>
      </c>
      <c r="AC66" s="415">
        <f>AC9 * $F$63 * (SUM($L26:AB26) + SUM($L30:AB30))</f>
        <v>0</v>
      </c>
      <c r="AD66" s="415">
        <f>AD9 * $F$63 * (SUM($L26:AC26) + SUM($L30:AC30))</f>
        <v>0</v>
      </c>
      <c r="AE66" s="415">
        <f>AE9 * $F$63 * (SUM($L26:AD26) + SUM($L30:AD30))</f>
        <v>0</v>
      </c>
      <c r="AF66" s="415">
        <f>AF9 * $F$63 * (SUM($L26:AE26) + SUM($L30:AE30))</f>
        <v>0</v>
      </c>
      <c r="AG66" s="415">
        <f>AG9 * $F$63 * (SUM($L26:AF26) + SUM($L30:AF30))</f>
        <v>0</v>
      </c>
      <c r="AH66" s="415">
        <f>AH9 * $F$63 * (SUM($L26:AG26) + SUM($L30:AG30))</f>
        <v>0</v>
      </c>
      <c r="AI66" s="415">
        <f>AI9 * $F$63 * (SUM($L26:AH26) + SUM($L30:AH30))</f>
        <v>0</v>
      </c>
      <c r="AJ66" s="415">
        <f>AJ9 * $F$63 * (SUM($L26:AI26) + SUM($L30:AI30))</f>
        <v>0</v>
      </c>
      <c r="AK66" s="415">
        <f>AK9 * $F$63 * (SUM($L26:AJ26) + SUM($L30:AJ30))</f>
        <v>0</v>
      </c>
      <c r="AL66" s="415">
        <f>AL9 * $F$63 * (SUM($L26:AK26) + SUM($L30:AK30))</f>
        <v>0</v>
      </c>
      <c r="AM66" s="415">
        <f>AM9 * $F$63 * (SUM($L26:AL26) + SUM($L30:AL30))</f>
        <v>0</v>
      </c>
      <c r="AN66" s="415">
        <f>AN9 * $F$63 * (SUM($L26:AM26) + SUM($L30:AM30))</f>
        <v>0</v>
      </c>
      <c r="AO66" s="415">
        <f>AO9 * $F$63 * (SUM($L26:AN26) + SUM($L30:AN30))</f>
        <v>0</v>
      </c>
      <c r="AP66" s="415">
        <f>AP9 * $F$63 * (SUM($L26:AO26) + SUM($L30:AO30))</f>
        <v>0</v>
      </c>
      <c r="AQ66" s="415">
        <f>AQ9 * $F$63 * (SUM($L26:AP26) + SUM($L30:AP30))</f>
        <v>0</v>
      </c>
    </row>
    <row r="67" spans="1:43" s="415" customFormat="1" x14ac:dyDescent="0.2">
      <c r="A67" s="413"/>
      <c r="B67" s="411"/>
      <c r="C67" s="411"/>
      <c r="D67" s="411"/>
      <c r="E67" s="354"/>
      <c r="F67" s="343"/>
      <c r="G67" s="343"/>
      <c r="H67" s="343"/>
      <c r="I67" s="343"/>
      <c r="J67" s="343"/>
      <c r="K67" s="343"/>
      <c r="L67" s="343"/>
    </row>
    <row r="68" spans="1:43" s="336" customFormat="1" x14ac:dyDescent="0.2">
      <c r="A68" s="351"/>
      <c r="B68" s="325"/>
      <c r="C68" s="325"/>
      <c r="D68" s="325"/>
      <c r="E68" s="336" t="s">
        <v>350</v>
      </c>
      <c r="F68" s="359">
        <f>'ORT uitgangspunten'!G69*'ORT uitgangspunten'!G57</f>
        <v>0</v>
      </c>
      <c r="G68" s="325" t="s">
        <v>349</v>
      </c>
      <c r="H68" s="325"/>
      <c r="I68" s="325"/>
      <c r="J68" s="325"/>
      <c r="K68" s="325"/>
      <c r="L68" s="325"/>
    </row>
    <row r="69" spans="1:43" s="415" customFormat="1" x14ac:dyDescent="0.2">
      <c r="A69" s="413"/>
      <c r="B69" s="411"/>
      <c r="C69" s="411"/>
      <c r="D69" s="411"/>
      <c r="E69" s="354" t="s">
        <v>348</v>
      </c>
      <c r="F69" s="343"/>
      <c r="G69" s="343"/>
      <c r="H69" s="343"/>
      <c r="I69" s="343"/>
      <c r="J69" s="343"/>
      <c r="K69" s="343"/>
      <c r="L69" s="343"/>
      <c r="M69" s="415">
        <f>M9 * $F$68 * (SUM($L24:L24) + SUM($L28:L28))</f>
        <v>0</v>
      </c>
      <c r="N69" s="415">
        <f>N9 * $F$68 * (SUM($L24:M24) + SUM($L28:M28))</f>
        <v>0</v>
      </c>
      <c r="O69" s="415">
        <f>O9 * $F$68 * (SUM($L24:N24) + SUM($L28:N28))</f>
        <v>0</v>
      </c>
      <c r="P69" s="415">
        <f>P9 * $F$68 * (SUM($L24:O24) + SUM($L28:O28))</f>
        <v>0</v>
      </c>
      <c r="Q69" s="415">
        <f>Q9 * $F$68 * (SUM($L24:P24) + SUM($L28:P28))</f>
        <v>0</v>
      </c>
      <c r="R69" s="415">
        <f>R9 * $F$68 * (SUM($L24:Q24) + SUM($L28:Q28))</f>
        <v>0</v>
      </c>
      <c r="S69" s="415">
        <f>S9 * $F$68 * (SUM($L24:R24) + SUM($L28:R28))</f>
        <v>0</v>
      </c>
      <c r="T69" s="415">
        <f>T9 * $F$68 * (SUM($L24:S24) + SUM($L28:S28))</f>
        <v>0</v>
      </c>
      <c r="U69" s="415">
        <f>U9 * $F$68 * (SUM($L24:T24) + SUM($L28:T28))</f>
        <v>0</v>
      </c>
      <c r="V69" s="415">
        <f>V9 * $F$68 * (SUM($L24:U24) + SUM($L28:U28))</f>
        <v>0</v>
      </c>
      <c r="W69" s="415">
        <f>W9 * $F$68 * (SUM($L24:V24) + SUM($L28:V28))</f>
        <v>0</v>
      </c>
      <c r="X69" s="415">
        <f>X9 * $F$68 * (SUM($L24:W24) + SUM($L28:W28))</f>
        <v>0</v>
      </c>
      <c r="Y69" s="415">
        <f>Y9 * $F$68 * (SUM($L24:X24) + SUM($L28:X28))</f>
        <v>0</v>
      </c>
      <c r="Z69" s="415">
        <f>Z9 * $F$68 * (SUM($L24:Y24) + SUM($L28:Y28))</f>
        <v>0</v>
      </c>
      <c r="AA69" s="415">
        <f>AA9 * $F$68 * (SUM($L24:Z24) + SUM($L28:Z28))</f>
        <v>0</v>
      </c>
      <c r="AB69" s="415">
        <f>AB9 * $F$68 * (SUM($L24:AA24) + SUM($L28:AA28))</f>
        <v>0</v>
      </c>
      <c r="AC69" s="415">
        <f>AC9 * $F$68 * (SUM($L24:AB24) + SUM($L28:AB28))</f>
        <v>0</v>
      </c>
      <c r="AD69" s="415">
        <f>AD9 * $F$68 * (SUM($L24:AC24) + SUM($L28:AC28))</f>
        <v>0</v>
      </c>
      <c r="AE69" s="415">
        <f>AE9 * $F$68 * (SUM($L24:AD24) + SUM($L28:AD28))</f>
        <v>0</v>
      </c>
      <c r="AF69" s="415">
        <f>AF9 * $F$68 * (SUM($L24:AE24) + SUM($L28:AE28))</f>
        <v>0</v>
      </c>
      <c r="AG69" s="415">
        <f>AG9 * $F$68 * (SUM($L24:AF24) + SUM($L28:AF28))</f>
        <v>0</v>
      </c>
      <c r="AH69" s="415">
        <f>AH9 * $F$68 * (SUM($L24:AG24) + SUM($L28:AG28))</f>
        <v>0</v>
      </c>
      <c r="AI69" s="415">
        <f>AI9 * $F$68 * (SUM($L24:AH24) + SUM($L28:AH28))</f>
        <v>0</v>
      </c>
      <c r="AJ69" s="415">
        <f>AJ9 * $F$68 * (SUM($L24:AI24) + SUM($L28:AI28))</f>
        <v>0</v>
      </c>
      <c r="AK69" s="415">
        <f>AK9 * $F$68 * (SUM($L24:AJ24) + SUM($L28:AJ28))</f>
        <v>0</v>
      </c>
      <c r="AL69" s="415">
        <f>AL9 * $F$68 * (SUM($L24:AK24) + SUM($L28:AK28))</f>
        <v>0</v>
      </c>
      <c r="AM69" s="415">
        <f>AM9 * $F$68 * (SUM($L24:AL24) + SUM($L28:AL28))</f>
        <v>0</v>
      </c>
      <c r="AN69" s="415">
        <f>AN9 * $F$68 * (SUM($L24:AM24) + SUM($L28:AM28))</f>
        <v>0</v>
      </c>
      <c r="AO69" s="415">
        <f>AO9 * $F$68 * (SUM($L24:AN24) + SUM($L28:AN28))</f>
        <v>0</v>
      </c>
      <c r="AP69" s="415">
        <f>AP9 * $F$68 * (SUM($L24:AO24) + SUM($L28:AO28))</f>
        <v>0</v>
      </c>
      <c r="AQ69" s="415">
        <f>AQ9 * $F$68 * (SUM($L24:AP24) + SUM($L28:AP28))</f>
        <v>0</v>
      </c>
    </row>
    <row r="70" spans="1:43" s="415" customFormat="1" x14ac:dyDescent="0.2">
      <c r="A70" s="413"/>
      <c r="B70" s="411"/>
      <c r="C70" s="411"/>
      <c r="D70" s="411"/>
      <c r="E70" s="354"/>
      <c r="F70" s="343"/>
      <c r="G70" s="343"/>
      <c r="H70" s="343"/>
      <c r="I70" s="343"/>
      <c r="J70" s="343"/>
      <c r="K70" s="343"/>
      <c r="L70" s="343"/>
    </row>
    <row r="71" spans="1:43" s="336" customFormat="1" x14ac:dyDescent="0.2">
      <c r="A71" s="351"/>
      <c r="B71" s="325"/>
      <c r="C71" s="351"/>
      <c r="D71" s="325"/>
      <c r="E71" s="336" t="str">
        <f>'ORT uitgangspunten'!E71</f>
        <v>Administratieve lasten</v>
      </c>
      <c r="F71" s="325">
        <f>'ORT uitgangspunten'!G71</f>
        <v>70</v>
      </c>
      <c r="G71" s="325" t="str">
        <f>'ORT uitgangspunten'!H71</f>
        <v>€/jaar/#</v>
      </c>
      <c r="H71" s="325"/>
      <c r="I71" s="325"/>
      <c r="J71" s="325"/>
      <c r="K71" s="325"/>
      <c r="L71" s="325"/>
    </row>
    <row r="72" spans="1:43" s="415" customFormat="1" x14ac:dyDescent="0.2">
      <c r="A72" s="413"/>
      <c r="B72" s="411"/>
      <c r="C72" s="413"/>
      <c r="D72" s="411"/>
      <c r="E72" s="354" t="s">
        <v>347</v>
      </c>
      <c r="F72" s="411"/>
      <c r="G72" s="411"/>
      <c r="H72" s="411"/>
      <c r="I72" s="411"/>
      <c r="J72" s="411"/>
      <c r="K72" s="411"/>
      <c r="L72" s="411"/>
      <c r="M72" s="415">
        <f>M9 * $F$71 * (SUM($L24:L24) + SUM($L28:L28))</f>
        <v>0</v>
      </c>
      <c r="N72" s="415">
        <f>N9 * $F$71 * (SUM($L24:M24) + SUM($L28:M28))</f>
        <v>0</v>
      </c>
      <c r="O72" s="415">
        <f>O9 * $F$71 * (SUM($L24:N24) + SUM($L28:N28))</f>
        <v>0</v>
      </c>
      <c r="P72" s="415">
        <f>P9 * $F$71 * (SUM($L24:O24) + SUM($L28:O28))</f>
        <v>0</v>
      </c>
      <c r="Q72" s="415">
        <f>Q9 * $F$71 * (SUM($L24:P24) + SUM($L28:P28))</f>
        <v>0</v>
      </c>
      <c r="R72" s="415">
        <f>R9 * $F$71 * (SUM($L24:Q24) + SUM($L28:Q28))</f>
        <v>0</v>
      </c>
      <c r="S72" s="415">
        <f>S9 * $F$71 * (SUM($L24:R24) + SUM($L28:R28))</f>
        <v>0</v>
      </c>
      <c r="T72" s="415">
        <f>T9 * $F$71 * (SUM($L24:S24) + SUM($L28:S28))</f>
        <v>0</v>
      </c>
      <c r="U72" s="415">
        <f>U9 * $F$71 * (SUM($L24:T24) + SUM($L28:T28))</f>
        <v>0</v>
      </c>
      <c r="V72" s="415">
        <f>V9 * $F$71 * (SUM($L24:U24) + SUM($L28:U28))</f>
        <v>0</v>
      </c>
      <c r="W72" s="415">
        <f>W9 * $F$71 * (SUM($L24:V24) + SUM($L28:V28))</f>
        <v>0</v>
      </c>
      <c r="X72" s="415">
        <f>X9 * $F$71 * (SUM($L24:W24) + SUM($L28:W28))</f>
        <v>0</v>
      </c>
      <c r="Y72" s="415">
        <f>Y9 * $F$71 * (SUM($L24:X24) + SUM($L28:X28))</f>
        <v>0</v>
      </c>
      <c r="Z72" s="415">
        <f>Z9 * $F$71 * (SUM($L24:Y24) + SUM($L28:Y28))</f>
        <v>0</v>
      </c>
      <c r="AA72" s="415">
        <f>AA9 * $F$71 * (SUM($L24:Z24) + SUM($L28:Z28))</f>
        <v>0</v>
      </c>
      <c r="AB72" s="415">
        <f>AB9 * $F$71 * (SUM($L24:AA24) + SUM($L28:AA28))</f>
        <v>0</v>
      </c>
      <c r="AC72" s="415">
        <f>AC9 * $F$71 * (SUM($L24:AB24) + SUM($L28:AB28))</f>
        <v>0</v>
      </c>
      <c r="AD72" s="415">
        <f>AD9 * $F$71 * (SUM($L24:AC24) + SUM($L28:AC28))</f>
        <v>0</v>
      </c>
      <c r="AE72" s="415">
        <f>AE9 * $F$71 * (SUM($L24:AD24) + SUM($L28:AD28))</f>
        <v>0</v>
      </c>
      <c r="AF72" s="415">
        <f>AF9 * $F$71 * (SUM($L24:AE24) + SUM($L28:AE28))</f>
        <v>0</v>
      </c>
      <c r="AG72" s="415">
        <f>AG9 * $F$71 * (SUM($L24:AF24) + SUM($L28:AF28))</f>
        <v>0</v>
      </c>
      <c r="AH72" s="415">
        <f>AH9 * $F$71 * (SUM($L24:AG24) + SUM($L28:AG28))</f>
        <v>0</v>
      </c>
      <c r="AI72" s="415">
        <f>AI9 * $F$71 * (SUM($L24:AH24) + SUM($L28:AH28))</f>
        <v>0</v>
      </c>
      <c r="AJ72" s="415">
        <f>AJ9 * $F$71 * (SUM($L24:AI24) + SUM($L28:AI28))</f>
        <v>0</v>
      </c>
      <c r="AK72" s="415">
        <f>AK9 * $F$71 * (SUM($L24:AJ24) + SUM($L28:AJ28))</f>
        <v>0</v>
      </c>
      <c r="AL72" s="415">
        <f>AL9 * $F$71 * (SUM($L24:AK24) + SUM($L28:AK28))</f>
        <v>0</v>
      </c>
      <c r="AM72" s="415">
        <f>AM9 * $F$71 * (SUM($L24:AL24) + SUM($L28:AL28))</f>
        <v>0</v>
      </c>
      <c r="AN72" s="415">
        <f>AN9 * $F$71 * (SUM($L24:AM24) + SUM($L28:AM28))</f>
        <v>0</v>
      </c>
      <c r="AO72" s="415">
        <f>AO9 * $F$71 * (SUM($L24:AN24) + SUM($L28:AN28))</f>
        <v>0</v>
      </c>
      <c r="AP72" s="415">
        <f>AP9 * $F$71 * (SUM($L24:AO24) + SUM($L28:AO28))</f>
        <v>0</v>
      </c>
      <c r="AQ72" s="415">
        <f>AQ9 * $F$71 * (SUM($L24:AP24) + SUM($L28:AP28))</f>
        <v>0</v>
      </c>
    </row>
    <row r="73" spans="1:43" s="415" customFormat="1" x14ac:dyDescent="0.2">
      <c r="A73" s="413"/>
      <c r="B73" s="411"/>
      <c r="C73" s="413"/>
      <c r="D73" s="411"/>
      <c r="E73" s="411"/>
      <c r="F73" s="411"/>
      <c r="G73" s="411"/>
      <c r="H73" s="411"/>
      <c r="I73" s="411"/>
      <c r="J73" s="411"/>
      <c r="K73" s="411"/>
      <c r="L73" s="411"/>
    </row>
    <row r="74" spans="1:43" s="355" customFormat="1" x14ac:dyDescent="0.2">
      <c r="A74" s="358"/>
      <c r="B74" s="353"/>
      <c r="C74" s="353"/>
      <c r="D74" s="353"/>
      <c r="E74" s="353" t="s">
        <v>346</v>
      </c>
      <c r="F74" s="353"/>
      <c r="G74" s="353"/>
      <c r="H74" s="353"/>
      <c r="I74" s="353"/>
      <c r="J74" s="353"/>
      <c r="K74" s="353"/>
      <c r="L74" s="353"/>
      <c r="M74" s="355">
        <f t="shared" ref="M74:AQ74" si="16">SUM(M64:M66) + M69 + M72</f>
        <v>0</v>
      </c>
      <c r="N74" s="355">
        <f t="shared" si="16"/>
        <v>0</v>
      </c>
      <c r="O74" s="355">
        <f t="shared" si="16"/>
        <v>0</v>
      </c>
      <c r="P74" s="355">
        <f t="shared" si="16"/>
        <v>0</v>
      </c>
      <c r="Q74" s="355">
        <f t="shared" si="16"/>
        <v>0</v>
      </c>
      <c r="R74" s="355">
        <f t="shared" si="16"/>
        <v>0</v>
      </c>
      <c r="S74" s="355">
        <f t="shared" si="16"/>
        <v>0</v>
      </c>
      <c r="T74" s="355">
        <f t="shared" si="16"/>
        <v>0</v>
      </c>
      <c r="U74" s="355">
        <f t="shared" si="16"/>
        <v>0</v>
      </c>
      <c r="V74" s="355">
        <f t="shared" si="16"/>
        <v>0</v>
      </c>
      <c r="W74" s="355">
        <f t="shared" si="16"/>
        <v>0</v>
      </c>
      <c r="X74" s="355">
        <f t="shared" si="16"/>
        <v>0</v>
      </c>
      <c r="Y74" s="355">
        <f t="shared" si="16"/>
        <v>0</v>
      </c>
      <c r="Z74" s="355">
        <f t="shared" si="16"/>
        <v>0</v>
      </c>
      <c r="AA74" s="355">
        <f t="shared" si="16"/>
        <v>0</v>
      </c>
      <c r="AB74" s="355">
        <f t="shared" si="16"/>
        <v>0</v>
      </c>
      <c r="AC74" s="355">
        <f t="shared" si="16"/>
        <v>0</v>
      </c>
      <c r="AD74" s="355">
        <f t="shared" si="16"/>
        <v>0</v>
      </c>
      <c r="AE74" s="355">
        <f t="shared" si="16"/>
        <v>0</v>
      </c>
      <c r="AF74" s="355">
        <f t="shared" si="16"/>
        <v>0</v>
      </c>
      <c r="AG74" s="355">
        <f t="shared" si="16"/>
        <v>0</v>
      </c>
      <c r="AH74" s="355">
        <f t="shared" si="16"/>
        <v>0</v>
      </c>
      <c r="AI74" s="355">
        <f t="shared" si="16"/>
        <v>0</v>
      </c>
      <c r="AJ74" s="355">
        <f t="shared" si="16"/>
        <v>0</v>
      </c>
      <c r="AK74" s="355">
        <f t="shared" si="16"/>
        <v>0</v>
      </c>
      <c r="AL74" s="355">
        <f t="shared" si="16"/>
        <v>0</v>
      </c>
      <c r="AM74" s="355">
        <f t="shared" si="16"/>
        <v>0</v>
      </c>
      <c r="AN74" s="355">
        <f t="shared" si="16"/>
        <v>0</v>
      </c>
      <c r="AO74" s="355">
        <f t="shared" si="16"/>
        <v>0</v>
      </c>
      <c r="AP74" s="355">
        <f t="shared" si="16"/>
        <v>0</v>
      </c>
      <c r="AQ74" s="355">
        <f t="shared" si="16"/>
        <v>0</v>
      </c>
    </row>
    <row r="75" spans="1:43" s="415" customFormat="1" x14ac:dyDescent="0.2">
      <c r="A75" s="413"/>
      <c r="B75" s="411"/>
      <c r="C75" s="411"/>
      <c r="D75" s="411"/>
      <c r="E75" s="325"/>
      <c r="F75" s="325"/>
      <c r="G75" s="325"/>
      <c r="H75" s="325"/>
      <c r="I75" s="325"/>
      <c r="J75" s="325"/>
      <c r="K75" s="325"/>
      <c r="L75" s="325"/>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row>
    <row r="76" spans="1:43" s="415" customFormat="1" x14ac:dyDescent="0.2">
      <c r="A76" s="413"/>
      <c r="B76" s="411"/>
      <c r="C76" s="411"/>
      <c r="D76" s="411"/>
      <c r="E76" s="411"/>
      <c r="F76" s="411"/>
      <c r="G76" s="411"/>
      <c r="H76" s="411"/>
      <c r="I76" s="411"/>
      <c r="J76" s="411"/>
      <c r="K76" s="411"/>
      <c r="L76" s="411"/>
    </row>
    <row r="77" spans="1:43" x14ac:dyDescent="0.2">
      <c r="A77" s="342"/>
      <c r="B77" s="470" t="s">
        <v>345</v>
      </c>
      <c r="C77" s="471"/>
      <c r="D77" s="471"/>
      <c r="E77" s="471"/>
      <c r="F77" s="471"/>
      <c r="G77" s="471"/>
      <c r="H77" s="471"/>
      <c r="I77" s="471"/>
      <c r="J77" s="471"/>
      <c r="K77" s="471"/>
      <c r="L77" s="471"/>
    </row>
    <row r="78" spans="1:43" x14ac:dyDescent="0.2">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row>
    <row r="79" spans="1:43" s="415" customFormat="1" x14ac:dyDescent="0.2">
      <c r="A79" s="414"/>
      <c r="E79" s="334" t="str">
        <f>'ORT uitgangspunten'!E76</f>
        <v>Variabele component ZLT-warmte</v>
      </c>
      <c r="F79" s="357">
        <f>'ORT uitgangspunten'!G76</f>
        <v>0</v>
      </c>
      <c r="G79" s="334" t="str">
        <f>'ORT uitgangspunten'!H76</f>
        <v>€/GJ</v>
      </c>
      <c r="I79" s="335"/>
      <c r="J79" s="335"/>
      <c r="K79" s="335"/>
      <c r="L79" s="335"/>
      <c r="M79" s="334">
        <f t="shared" ref="M79:AQ79" si="17">M9 * (M95+M102) * $F$79</f>
        <v>0</v>
      </c>
      <c r="N79" s="334">
        <f t="shared" si="17"/>
        <v>0</v>
      </c>
      <c r="O79" s="334">
        <f t="shared" si="17"/>
        <v>0</v>
      </c>
      <c r="P79" s="334">
        <f t="shared" si="17"/>
        <v>0</v>
      </c>
      <c r="Q79" s="334">
        <f t="shared" si="17"/>
        <v>0</v>
      </c>
      <c r="R79" s="334">
        <f t="shared" si="17"/>
        <v>0</v>
      </c>
      <c r="S79" s="334">
        <f t="shared" si="17"/>
        <v>0</v>
      </c>
      <c r="T79" s="334">
        <f t="shared" si="17"/>
        <v>0</v>
      </c>
      <c r="U79" s="334">
        <f t="shared" si="17"/>
        <v>0</v>
      </c>
      <c r="V79" s="334">
        <f t="shared" si="17"/>
        <v>0</v>
      </c>
      <c r="W79" s="334">
        <f t="shared" si="17"/>
        <v>0</v>
      </c>
      <c r="X79" s="334">
        <f t="shared" si="17"/>
        <v>0</v>
      </c>
      <c r="Y79" s="334">
        <f t="shared" si="17"/>
        <v>0</v>
      </c>
      <c r="Z79" s="334">
        <f t="shared" si="17"/>
        <v>0</v>
      </c>
      <c r="AA79" s="334">
        <f t="shared" si="17"/>
        <v>0</v>
      </c>
      <c r="AB79" s="334">
        <f t="shared" si="17"/>
        <v>0</v>
      </c>
      <c r="AC79" s="334">
        <f t="shared" si="17"/>
        <v>0</v>
      </c>
      <c r="AD79" s="334">
        <f t="shared" si="17"/>
        <v>0</v>
      </c>
      <c r="AE79" s="334">
        <f t="shared" si="17"/>
        <v>0</v>
      </c>
      <c r="AF79" s="334">
        <f t="shared" si="17"/>
        <v>0</v>
      </c>
      <c r="AG79" s="334">
        <f t="shared" si="17"/>
        <v>0</v>
      </c>
      <c r="AH79" s="334">
        <f t="shared" si="17"/>
        <v>0</v>
      </c>
      <c r="AI79" s="334">
        <f t="shared" si="17"/>
        <v>0</v>
      </c>
      <c r="AJ79" s="334">
        <f t="shared" si="17"/>
        <v>0</v>
      </c>
      <c r="AK79" s="334">
        <f t="shared" si="17"/>
        <v>0</v>
      </c>
      <c r="AL79" s="334">
        <f t="shared" si="17"/>
        <v>0</v>
      </c>
      <c r="AM79" s="334">
        <f t="shared" si="17"/>
        <v>0</v>
      </c>
      <c r="AN79" s="334">
        <f t="shared" si="17"/>
        <v>0</v>
      </c>
      <c r="AO79" s="334">
        <f t="shared" si="17"/>
        <v>0</v>
      </c>
      <c r="AP79" s="334">
        <f t="shared" si="17"/>
        <v>0</v>
      </c>
      <c r="AQ79" s="334">
        <f t="shared" si="17"/>
        <v>0</v>
      </c>
    </row>
    <row r="80" spans="1:43" s="415" customFormat="1" x14ac:dyDescent="0.2">
      <c r="A80" s="414"/>
      <c r="E80" s="334"/>
      <c r="F80" s="334"/>
      <c r="G80" s="334"/>
      <c r="I80" s="335"/>
      <c r="J80" s="335"/>
      <c r="K80" s="335"/>
      <c r="L80" s="335"/>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row>
    <row r="81" spans="1:43" s="415" customFormat="1" x14ac:dyDescent="0.2">
      <c r="A81" s="342"/>
      <c r="B81" s="470" t="s">
        <v>493</v>
      </c>
      <c r="C81" s="471"/>
      <c r="D81" s="471"/>
      <c r="E81" s="471"/>
      <c r="F81" s="471"/>
      <c r="G81" s="471"/>
      <c r="H81" s="471"/>
      <c r="I81" s="471"/>
      <c r="J81" s="471"/>
      <c r="K81" s="471"/>
      <c r="L81" s="471"/>
    </row>
    <row r="82" spans="1:43" s="415" customFormat="1" x14ac:dyDescent="0.2">
      <c r="A82" s="413"/>
      <c r="B82" s="411"/>
      <c r="C82" s="411"/>
      <c r="D82" s="411"/>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343"/>
      <c r="AQ82" s="343"/>
    </row>
    <row r="83" spans="1:43" s="415" customFormat="1" x14ac:dyDescent="0.2">
      <c r="A83" s="414"/>
      <c r="E83" s="354" t="str">
        <f>'ORT uitgangspunten'!E38</f>
        <v>Aansluitbijdrage individuele kleinverbruikers</v>
      </c>
      <c r="F83" s="354">
        <f>'ORT uitgangspunten'!G38</f>
        <v>0</v>
      </c>
      <c r="G83" s="354" t="str">
        <f>'ORT uitgangspunten'!H38</f>
        <v>[€/#]</v>
      </c>
      <c r="I83" s="354"/>
      <c r="J83" s="354"/>
      <c r="K83" s="354"/>
      <c r="L83" s="354"/>
      <c r="M83" s="354">
        <f t="shared" ref="M83:AQ83" si="18">(M24 + M28) * $F$83</f>
        <v>0</v>
      </c>
      <c r="N83" s="354">
        <f t="shared" si="18"/>
        <v>0</v>
      </c>
      <c r="O83" s="354">
        <f t="shared" si="18"/>
        <v>0</v>
      </c>
      <c r="P83" s="354">
        <f t="shared" si="18"/>
        <v>0</v>
      </c>
      <c r="Q83" s="354">
        <f t="shared" si="18"/>
        <v>0</v>
      </c>
      <c r="R83" s="354">
        <f t="shared" si="18"/>
        <v>0</v>
      </c>
      <c r="S83" s="354">
        <f t="shared" si="18"/>
        <v>0</v>
      </c>
      <c r="T83" s="354">
        <f t="shared" si="18"/>
        <v>0</v>
      </c>
      <c r="U83" s="354">
        <f t="shared" si="18"/>
        <v>0</v>
      </c>
      <c r="V83" s="354">
        <f t="shared" si="18"/>
        <v>0</v>
      </c>
      <c r="W83" s="354">
        <f t="shared" si="18"/>
        <v>0</v>
      </c>
      <c r="X83" s="354">
        <f t="shared" si="18"/>
        <v>0</v>
      </c>
      <c r="Y83" s="354">
        <f t="shared" si="18"/>
        <v>0</v>
      </c>
      <c r="Z83" s="354">
        <f t="shared" si="18"/>
        <v>0</v>
      </c>
      <c r="AA83" s="354">
        <f t="shared" si="18"/>
        <v>0</v>
      </c>
      <c r="AB83" s="354">
        <f t="shared" si="18"/>
        <v>0</v>
      </c>
      <c r="AC83" s="354">
        <f t="shared" si="18"/>
        <v>0</v>
      </c>
      <c r="AD83" s="354">
        <f t="shared" si="18"/>
        <v>0</v>
      </c>
      <c r="AE83" s="354">
        <f t="shared" si="18"/>
        <v>0</v>
      </c>
      <c r="AF83" s="354">
        <f t="shared" si="18"/>
        <v>0</v>
      </c>
      <c r="AG83" s="354">
        <f t="shared" si="18"/>
        <v>0</v>
      </c>
      <c r="AH83" s="354">
        <f t="shared" si="18"/>
        <v>0</v>
      </c>
      <c r="AI83" s="354">
        <f t="shared" si="18"/>
        <v>0</v>
      </c>
      <c r="AJ83" s="354">
        <f t="shared" si="18"/>
        <v>0</v>
      </c>
      <c r="AK83" s="354">
        <f t="shared" si="18"/>
        <v>0</v>
      </c>
      <c r="AL83" s="354">
        <f t="shared" si="18"/>
        <v>0</v>
      </c>
      <c r="AM83" s="354">
        <f t="shared" si="18"/>
        <v>0</v>
      </c>
      <c r="AN83" s="354">
        <f t="shared" si="18"/>
        <v>0</v>
      </c>
      <c r="AO83" s="354">
        <f t="shared" si="18"/>
        <v>0</v>
      </c>
      <c r="AP83" s="354">
        <f t="shared" si="18"/>
        <v>0</v>
      </c>
      <c r="AQ83" s="354">
        <f t="shared" si="18"/>
        <v>0</v>
      </c>
    </row>
    <row r="84" spans="1:43" s="415" customFormat="1" x14ac:dyDescent="0.2">
      <c r="A84" s="414"/>
      <c r="E84" s="354"/>
      <c r="F84" s="354"/>
      <c r="G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4"/>
      <c r="AL84" s="354"/>
      <c r="AM84" s="354"/>
      <c r="AN84" s="354"/>
      <c r="AO84" s="354"/>
      <c r="AP84" s="354"/>
      <c r="AQ84" s="354"/>
    </row>
    <row r="85" spans="1:43" s="415" customFormat="1" x14ac:dyDescent="0.2">
      <c r="A85" s="414"/>
      <c r="E85" s="355" t="s">
        <v>494</v>
      </c>
      <c r="F85" s="354"/>
      <c r="G85" s="354"/>
      <c r="I85" s="354"/>
      <c r="J85" s="354"/>
      <c r="K85" s="354"/>
      <c r="L85" s="354"/>
      <c r="M85" s="354">
        <f>M83</f>
        <v>0</v>
      </c>
      <c r="N85" s="354">
        <f t="shared" ref="N85:AQ85" si="19">N83</f>
        <v>0</v>
      </c>
      <c r="O85" s="354">
        <f t="shared" si="19"/>
        <v>0</v>
      </c>
      <c r="P85" s="354">
        <f t="shared" si="19"/>
        <v>0</v>
      </c>
      <c r="Q85" s="354">
        <f t="shared" si="19"/>
        <v>0</v>
      </c>
      <c r="R85" s="354">
        <f t="shared" si="19"/>
        <v>0</v>
      </c>
      <c r="S85" s="354">
        <f t="shared" si="19"/>
        <v>0</v>
      </c>
      <c r="T85" s="354">
        <f t="shared" si="19"/>
        <v>0</v>
      </c>
      <c r="U85" s="354">
        <f t="shared" si="19"/>
        <v>0</v>
      </c>
      <c r="V85" s="354">
        <f t="shared" si="19"/>
        <v>0</v>
      </c>
      <c r="W85" s="354">
        <f t="shared" si="19"/>
        <v>0</v>
      </c>
      <c r="X85" s="354">
        <f t="shared" si="19"/>
        <v>0</v>
      </c>
      <c r="Y85" s="354">
        <f t="shared" si="19"/>
        <v>0</v>
      </c>
      <c r="Z85" s="354">
        <f t="shared" si="19"/>
        <v>0</v>
      </c>
      <c r="AA85" s="354">
        <f t="shared" si="19"/>
        <v>0</v>
      </c>
      <c r="AB85" s="354">
        <f t="shared" si="19"/>
        <v>0</v>
      </c>
      <c r="AC85" s="354">
        <f t="shared" si="19"/>
        <v>0</v>
      </c>
      <c r="AD85" s="354">
        <f t="shared" si="19"/>
        <v>0</v>
      </c>
      <c r="AE85" s="354">
        <f t="shared" si="19"/>
        <v>0</v>
      </c>
      <c r="AF85" s="354">
        <f t="shared" si="19"/>
        <v>0</v>
      </c>
      <c r="AG85" s="354">
        <f t="shared" si="19"/>
        <v>0</v>
      </c>
      <c r="AH85" s="354">
        <f t="shared" si="19"/>
        <v>0</v>
      </c>
      <c r="AI85" s="354">
        <f t="shared" si="19"/>
        <v>0</v>
      </c>
      <c r="AJ85" s="354">
        <f t="shared" si="19"/>
        <v>0</v>
      </c>
      <c r="AK85" s="354">
        <f t="shared" si="19"/>
        <v>0</v>
      </c>
      <c r="AL85" s="354">
        <f t="shared" si="19"/>
        <v>0</v>
      </c>
      <c r="AM85" s="354">
        <f t="shared" si="19"/>
        <v>0</v>
      </c>
      <c r="AN85" s="354">
        <f t="shared" si="19"/>
        <v>0</v>
      </c>
      <c r="AO85" s="354">
        <f t="shared" si="19"/>
        <v>0</v>
      </c>
      <c r="AP85" s="354">
        <f t="shared" si="19"/>
        <v>0</v>
      </c>
      <c r="AQ85" s="354">
        <f t="shared" si="19"/>
        <v>0</v>
      </c>
    </row>
    <row r="86" spans="1:43" s="415" customFormat="1" x14ac:dyDescent="0.2">
      <c r="A86" s="41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354"/>
      <c r="AL86" s="354"/>
      <c r="AM86" s="354"/>
      <c r="AN86" s="354"/>
      <c r="AO86" s="354"/>
      <c r="AP86" s="354"/>
      <c r="AQ86" s="354"/>
    </row>
    <row r="87" spans="1:43" s="415" customFormat="1" x14ac:dyDescent="0.2">
      <c r="A87" s="342"/>
      <c r="B87" s="470" t="s">
        <v>344</v>
      </c>
      <c r="C87" s="471"/>
      <c r="D87" s="471"/>
      <c r="E87" s="471"/>
      <c r="F87" s="471"/>
      <c r="G87" s="471"/>
      <c r="H87" s="471"/>
      <c r="I87" s="471"/>
      <c r="J87" s="471"/>
      <c r="K87" s="471"/>
      <c r="L87" s="471"/>
    </row>
    <row r="88" spans="1:43" s="415" customFormat="1" x14ac:dyDescent="0.2">
      <c r="A88" s="413"/>
      <c r="B88" s="411"/>
      <c r="C88" s="411"/>
      <c r="D88" s="411"/>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row>
    <row r="89" spans="1:43" x14ac:dyDescent="0.2">
      <c r="E89" s="325" t="str">
        <f>'ORT aansluitingen'!F65</f>
        <v>Aantal aansluitingen grondgebonden (cumulatief)</v>
      </c>
      <c r="F89" s="343"/>
      <c r="G89" s="343"/>
      <c r="M89" s="411">
        <f>'ORT aansluitingen'!U65</f>
        <v>0</v>
      </c>
      <c r="N89" s="411">
        <f>'ORT aansluitingen'!V65</f>
        <v>0</v>
      </c>
      <c r="O89" s="411">
        <f>'ORT aansluitingen'!W65</f>
        <v>0</v>
      </c>
      <c r="P89" s="411">
        <f>'ORT aansluitingen'!X65</f>
        <v>0</v>
      </c>
      <c r="Q89" s="411">
        <f>'ORT aansluitingen'!Y65</f>
        <v>0</v>
      </c>
      <c r="R89" s="411">
        <f>'ORT aansluitingen'!Z65</f>
        <v>0</v>
      </c>
      <c r="S89" s="411">
        <f>'ORT aansluitingen'!AA65</f>
        <v>0</v>
      </c>
      <c r="T89" s="411">
        <f>'ORT aansluitingen'!AB65</f>
        <v>0</v>
      </c>
      <c r="U89" s="411">
        <f>'ORT aansluitingen'!AC65</f>
        <v>0</v>
      </c>
      <c r="V89" s="411">
        <f>'ORT aansluitingen'!AD65</f>
        <v>0</v>
      </c>
      <c r="W89" s="411">
        <f>'ORT aansluitingen'!AE65</f>
        <v>0</v>
      </c>
      <c r="X89" s="411">
        <f>'ORT aansluitingen'!AF65</f>
        <v>0</v>
      </c>
      <c r="Y89" s="411">
        <f>'ORT aansluitingen'!AG65</f>
        <v>0</v>
      </c>
      <c r="Z89" s="411">
        <f>'ORT aansluitingen'!AH65</f>
        <v>0</v>
      </c>
      <c r="AA89" s="411">
        <f>'ORT aansluitingen'!AI65</f>
        <v>0</v>
      </c>
      <c r="AB89" s="411">
        <f>'ORT aansluitingen'!AJ65</f>
        <v>0</v>
      </c>
      <c r="AC89" s="411">
        <f>'ORT aansluitingen'!AK65</f>
        <v>0</v>
      </c>
      <c r="AD89" s="411">
        <f>'ORT aansluitingen'!AL65</f>
        <v>0</v>
      </c>
      <c r="AE89" s="411">
        <f>'ORT aansluitingen'!AM65</f>
        <v>0</v>
      </c>
      <c r="AF89" s="411">
        <f>'ORT aansluitingen'!AN65</f>
        <v>0</v>
      </c>
      <c r="AG89" s="411">
        <f>'ORT aansluitingen'!AO65</f>
        <v>0</v>
      </c>
      <c r="AH89" s="411">
        <f>'ORT aansluitingen'!AP65</f>
        <v>0</v>
      </c>
      <c r="AI89" s="411">
        <f>'ORT aansluitingen'!AQ65</f>
        <v>0</v>
      </c>
      <c r="AJ89" s="411">
        <f>'ORT aansluitingen'!AR65</f>
        <v>0</v>
      </c>
      <c r="AK89" s="411">
        <f>'ORT aansluitingen'!AS65</f>
        <v>0</v>
      </c>
      <c r="AL89" s="411">
        <f>'ORT aansluitingen'!AT65</f>
        <v>0</v>
      </c>
      <c r="AM89" s="411">
        <f>'ORT aansluitingen'!AU65</f>
        <v>0</v>
      </c>
      <c r="AN89" s="411">
        <f>'ORT aansluitingen'!AV65</f>
        <v>0</v>
      </c>
      <c r="AO89" s="411">
        <f>'ORT aansluitingen'!AW65</f>
        <v>0</v>
      </c>
      <c r="AP89" s="411">
        <f>'ORT aansluitingen'!AX65</f>
        <v>0</v>
      </c>
      <c r="AQ89" s="411">
        <f>'ORT aansluitingen'!AY65</f>
        <v>0</v>
      </c>
    </row>
    <row r="90" spans="1:43" s="415" customFormat="1" x14ac:dyDescent="0.2">
      <c r="A90" s="413"/>
      <c r="B90" s="411"/>
      <c r="C90" s="411"/>
      <c r="D90" s="411"/>
      <c r="E90" s="325" t="str">
        <f>'ORT uitgangspunten'!E39</f>
        <v>Vastrecht + Meettarief</v>
      </c>
      <c r="F90" s="325" t="e">
        <f>'ORT uitgangspunten'!G39</f>
        <v>#N/A</v>
      </c>
      <c r="G90" s="325" t="str">
        <f>'ORT uitgangspunten'!H39</f>
        <v>[€/jr]</v>
      </c>
      <c r="H90" s="336"/>
      <c r="I90" s="411"/>
      <c r="J90" s="411"/>
      <c r="K90" s="411"/>
      <c r="L90" s="411"/>
    </row>
    <row r="91" spans="1:43" s="415" customFormat="1" x14ac:dyDescent="0.2">
      <c r="A91" s="413"/>
      <c r="B91" s="411"/>
      <c r="C91" s="411"/>
      <c r="D91" s="411"/>
      <c r="E91" s="325" t="str">
        <f>'ORT uitgangspunten'!E40</f>
        <v>Vergoeding afleverstation</v>
      </c>
      <c r="F91" s="325" t="e">
        <f>'ORT uitgangspunten'!G40</f>
        <v>#N/A</v>
      </c>
      <c r="G91" s="325" t="str">
        <f>'ORT uitgangspunten'!H40</f>
        <v>[€/jr]</v>
      </c>
      <c r="H91" s="336"/>
      <c r="I91" s="411"/>
      <c r="J91" s="411"/>
      <c r="K91" s="411"/>
      <c r="L91" s="411"/>
    </row>
    <row r="92" spans="1:43" s="415" customFormat="1" x14ac:dyDescent="0.2">
      <c r="A92" s="413"/>
      <c r="B92" s="411"/>
      <c r="C92" s="411"/>
      <c r="D92" s="411"/>
      <c r="E92" s="343" t="s">
        <v>343</v>
      </c>
      <c r="F92" s="343"/>
      <c r="G92" s="343"/>
      <c r="H92" s="343"/>
      <c r="I92" s="343"/>
      <c r="J92" s="343"/>
      <c r="K92" s="343"/>
      <c r="L92" s="343"/>
      <c r="M92" s="343" t="e">
        <f t="shared" ref="M92:AQ92" si="20">M9 * L89 * ($F$90 + $F$91)</f>
        <v>#N/A</v>
      </c>
      <c r="N92" s="343" t="e">
        <f t="shared" si="20"/>
        <v>#N/A</v>
      </c>
      <c r="O92" s="343" t="e">
        <f t="shared" si="20"/>
        <v>#N/A</v>
      </c>
      <c r="P92" s="343" t="e">
        <f t="shared" si="20"/>
        <v>#N/A</v>
      </c>
      <c r="Q92" s="343" t="e">
        <f t="shared" si="20"/>
        <v>#N/A</v>
      </c>
      <c r="R92" s="343" t="e">
        <f t="shared" si="20"/>
        <v>#N/A</v>
      </c>
      <c r="S92" s="343" t="e">
        <f t="shared" si="20"/>
        <v>#N/A</v>
      </c>
      <c r="T92" s="343" t="e">
        <f t="shared" si="20"/>
        <v>#N/A</v>
      </c>
      <c r="U92" s="343" t="e">
        <f t="shared" si="20"/>
        <v>#N/A</v>
      </c>
      <c r="V92" s="343" t="e">
        <f t="shared" si="20"/>
        <v>#N/A</v>
      </c>
      <c r="W92" s="343" t="e">
        <f t="shared" si="20"/>
        <v>#N/A</v>
      </c>
      <c r="X92" s="343" t="e">
        <f t="shared" si="20"/>
        <v>#N/A</v>
      </c>
      <c r="Y92" s="343" t="e">
        <f t="shared" si="20"/>
        <v>#N/A</v>
      </c>
      <c r="Z92" s="343" t="e">
        <f t="shared" si="20"/>
        <v>#N/A</v>
      </c>
      <c r="AA92" s="343" t="e">
        <f t="shared" si="20"/>
        <v>#N/A</v>
      </c>
      <c r="AB92" s="343" t="e">
        <f t="shared" si="20"/>
        <v>#N/A</v>
      </c>
      <c r="AC92" s="343" t="e">
        <f t="shared" si="20"/>
        <v>#N/A</v>
      </c>
      <c r="AD92" s="343" t="e">
        <f t="shared" si="20"/>
        <v>#N/A</v>
      </c>
      <c r="AE92" s="343" t="e">
        <f t="shared" si="20"/>
        <v>#N/A</v>
      </c>
      <c r="AF92" s="343" t="e">
        <f t="shared" si="20"/>
        <v>#N/A</v>
      </c>
      <c r="AG92" s="343" t="e">
        <f t="shared" si="20"/>
        <v>#N/A</v>
      </c>
      <c r="AH92" s="343" t="e">
        <f t="shared" si="20"/>
        <v>#N/A</v>
      </c>
      <c r="AI92" s="343" t="e">
        <f t="shared" si="20"/>
        <v>#N/A</v>
      </c>
      <c r="AJ92" s="343" t="e">
        <f t="shared" si="20"/>
        <v>#N/A</v>
      </c>
      <c r="AK92" s="343" t="e">
        <f t="shared" si="20"/>
        <v>#N/A</v>
      </c>
      <c r="AL92" s="343" t="e">
        <f t="shared" si="20"/>
        <v>#N/A</v>
      </c>
      <c r="AM92" s="343" t="e">
        <f t="shared" si="20"/>
        <v>#N/A</v>
      </c>
      <c r="AN92" s="343" t="e">
        <f t="shared" si="20"/>
        <v>#N/A</v>
      </c>
      <c r="AO92" s="343" t="e">
        <f t="shared" si="20"/>
        <v>#N/A</v>
      </c>
      <c r="AP92" s="343" t="e">
        <f t="shared" si="20"/>
        <v>#N/A</v>
      </c>
      <c r="AQ92" s="343" t="e">
        <f t="shared" si="20"/>
        <v>#N/A</v>
      </c>
    </row>
    <row r="93" spans="1:43" s="336" customFormat="1" x14ac:dyDescent="0.2">
      <c r="A93" s="351"/>
      <c r="B93" s="325"/>
      <c r="C93" s="325"/>
      <c r="D93" s="325"/>
      <c r="E93" s="325"/>
      <c r="F93" s="325"/>
      <c r="G93" s="325"/>
      <c r="H93" s="325"/>
      <c r="I93" s="325"/>
      <c r="J93" s="325"/>
      <c r="K93" s="325"/>
      <c r="L93" s="325"/>
    </row>
    <row r="94" spans="1:43" s="336" customFormat="1" x14ac:dyDescent="0.2">
      <c r="A94" s="351"/>
      <c r="B94" s="325"/>
      <c r="C94" s="325"/>
      <c r="D94" s="325"/>
      <c r="E94" s="325" t="str">
        <f>'ORT uitgangspunten'!E29</f>
        <v>Percentuele warmtevraagreductie</v>
      </c>
      <c r="F94" s="341">
        <f>'ORT uitgangspunten'!G29</f>
        <v>3.5000000000000001E-3</v>
      </c>
      <c r="G94" s="325" t="str">
        <f>'ORT uitgangspunten'!H29</f>
        <v>[%/jr]</v>
      </c>
      <c r="I94" s="325"/>
      <c r="J94" s="325"/>
      <c r="K94" s="325"/>
      <c r="L94" s="325"/>
      <c r="M94" s="341">
        <f t="shared" ref="M94:AQ94" si="21">$F$94 * (M6-1)</f>
        <v>0</v>
      </c>
      <c r="N94" s="341">
        <f t="shared" si="21"/>
        <v>3.5000000000000001E-3</v>
      </c>
      <c r="O94" s="341">
        <f t="shared" si="21"/>
        <v>7.0000000000000001E-3</v>
      </c>
      <c r="P94" s="341">
        <f t="shared" si="21"/>
        <v>1.0500000000000001E-2</v>
      </c>
      <c r="Q94" s="341">
        <f t="shared" si="21"/>
        <v>1.4E-2</v>
      </c>
      <c r="R94" s="341">
        <f t="shared" si="21"/>
        <v>1.7500000000000002E-2</v>
      </c>
      <c r="S94" s="341">
        <f t="shared" si="21"/>
        <v>2.1000000000000001E-2</v>
      </c>
      <c r="T94" s="341">
        <f t="shared" si="21"/>
        <v>2.4500000000000001E-2</v>
      </c>
      <c r="U94" s="341">
        <f t="shared" si="21"/>
        <v>2.8000000000000001E-2</v>
      </c>
      <c r="V94" s="341">
        <f t="shared" si="21"/>
        <v>3.15E-2</v>
      </c>
      <c r="W94" s="341">
        <f t="shared" si="21"/>
        <v>3.5000000000000003E-2</v>
      </c>
      <c r="X94" s="341">
        <f t="shared" si="21"/>
        <v>3.85E-2</v>
      </c>
      <c r="Y94" s="341">
        <f t="shared" si="21"/>
        <v>4.2000000000000003E-2</v>
      </c>
      <c r="Z94" s="341">
        <f t="shared" si="21"/>
        <v>4.5499999999999999E-2</v>
      </c>
      <c r="AA94" s="341">
        <f t="shared" si="21"/>
        <v>4.9000000000000002E-2</v>
      </c>
      <c r="AB94" s="341">
        <f t="shared" si="21"/>
        <v>5.2499999999999998E-2</v>
      </c>
      <c r="AC94" s="341">
        <f t="shared" si="21"/>
        <v>5.6000000000000001E-2</v>
      </c>
      <c r="AD94" s="341">
        <f t="shared" si="21"/>
        <v>5.9500000000000004E-2</v>
      </c>
      <c r="AE94" s="341">
        <f t="shared" si="21"/>
        <v>6.3E-2</v>
      </c>
      <c r="AF94" s="341">
        <f t="shared" si="21"/>
        <v>6.6500000000000004E-2</v>
      </c>
      <c r="AG94" s="341">
        <f t="shared" si="21"/>
        <v>7.0000000000000007E-2</v>
      </c>
      <c r="AH94" s="341">
        <f t="shared" si="21"/>
        <v>7.3499999999999996E-2</v>
      </c>
      <c r="AI94" s="341">
        <f t="shared" si="21"/>
        <v>7.6999999999999999E-2</v>
      </c>
      <c r="AJ94" s="341">
        <f t="shared" si="21"/>
        <v>8.0500000000000002E-2</v>
      </c>
      <c r="AK94" s="341">
        <f t="shared" si="21"/>
        <v>8.4000000000000005E-2</v>
      </c>
      <c r="AL94" s="341">
        <f t="shared" si="21"/>
        <v>8.7500000000000008E-2</v>
      </c>
      <c r="AM94" s="341">
        <f t="shared" si="21"/>
        <v>9.0999999999999998E-2</v>
      </c>
      <c r="AN94" s="341">
        <f t="shared" si="21"/>
        <v>9.4500000000000001E-2</v>
      </c>
      <c r="AO94" s="341">
        <f t="shared" si="21"/>
        <v>9.8000000000000004E-2</v>
      </c>
      <c r="AP94" s="341">
        <f t="shared" si="21"/>
        <v>0.10150000000000001</v>
      </c>
      <c r="AQ94" s="341">
        <f t="shared" si="21"/>
        <v>0.105</v>
      </c>
    </row>
    <row r="95" spans="1:43" s="415" customFormat="1" x14ac:dyDescent="0.2">
      <c r="A95" s="413"/>
      <c r="B95" s="411"/>
      <c r="C95" s="411"/>
      <c r="D95" s="411"/>
      <c r="E95" s="325" t="str">
        <f>'ORT aansluitingen'!F66</f>
        <v>Warmteverbruik grondgebonden</v>
      </c>
      <c r="F95" s="325">
        <f>'ORT aansluitingen'!G66</f>
        <v>0</v>
      </c>
      <c r="G95" s="325" t="str">
        <f>'ORT aansluitingen'!H66</f>
        <v>[GJ]</v>
      </c>
      <c r="H95" s="411"/>
      <c r="I95" s="411"/>
      <c r="J95" s="411"/>
      <c r="K95" s="411"/>
      <c r="L95" s="411"/>
      <c r="M95" s="415">
        <f>'ORT aansluitingen'!U66 * (1 - 'ORT Berekening'!M94)</f>
        <v>0</v>
      </c>
      <c r="N95" s="415">
        <f>'ORT aansluitingen'!V66 * (1 - 'ORT Berekening'!N94)</f>
        <v>0</v>
      </c>
      <c r="O95" s="415">
        <f>'ORT aansluitingen'!W66 * (1 - 'ORT Berekening'!O94)</f>
        <v>0</v>
      </c>
      <c r="P95" s="415">
        <f>'ORT aansluitingen'!X66 * (1 - 'ORT Berekening'!P94)</f>
        <v>0</v>
      </c>
      <c r="Q95" s="415">
        <f>'ORT aansluitingen'!Y66 * (1 - 'ORT Berekening'!Q94)</f>
        <v>0</v>
      </c>
      <c r="R95" s="415">
        <f>'ORT aansluitingen'!Z66 * (1 - 'ORT Berekening'!R94)</f>
        <v>0</v>
      </c>
      <c r="S95" s="415">
        <f>'ORT aansluitingen'!AA66 * (1 - 'ORT Berekening'!S94)</f>
        <v>0</v>
      </c>
      <c r="T95" s="415">
        <f>'ORT aansluitingen'!AB66 * (1 - 'ORT Berekening'!T94)</f>
        <v>0</v>
      </c>
      <c r="U95" s="415">
        <f>'ORT aansluitingen'!AC66 * (1 - 'ORT Berekening'!U94)</f>
        <v>0</v>
      </c>
      <c r="V95" s="415">
        <f>'ORT aansluitingen'!AD66 * (1 - 'ORT Berekening'!V94)</f>
        <v>0</v>
      </c>
      <c r="W95" s="415">
        <f>'ORT aansluitingen'!AE66 * (1 - 'ORT Berekening'!W94)</f>
        <v>0</v>
      </c>
      <c r="X95" s="415">
        <f>'ORT aansluitingen'!AF66 * (1 - 'ORT Berekening'!X94)</f>
        <v>0</v>
      </c>
      <c r="Y95" s="415">
        <f>'ORT aansluitingen'!AG66 * (1 - 'ORT Berekening'!Y94)</f>
        <v>0</v>
      </c>
      <c r="Z95" s="415">
        <f>'ORT aansluitingen'!AH66 * (1 - 'ORT Berekening'!Z94)</f>
        <v>0</v>
      </c>
      <c r="AA95" s="415">
        <f>'ORT aansluitingen'!AI66 * (1 - 'ORT Berekening'!AA94)</f>
        <v>0</v>
      </c>
      <c r="AB95" s="415">
        <f>'ORT aansluitingen'!AJ66 * (1 - 'ORT Berekening'!AB94)</f>
        <v>0</v>
      </c>
      <c r="AC95" s="415">
        <f>'ORT aansluitingen'!AK66 * (1 - 'ORT Berekening'!AC94)</f>
        <v>0</v>
      </c>
      <c r="AD95" s="415">
        <f>'ORT aansluitingen'!AL66 * (1 - 'ORT Berekening'!AD94)</f>
        <v>0</v>
      </c>
      <c r="AE95" s="415">
        <f>'ORT aansluitingen'!AM66 * (1 - 'ORT Berekening'!AE94)</f>
        <v>0</v>
      </c>
      <c r="AF95" s="415">
        <f>'ORT aansluitingen'!AN66 * (1 - 'ORT Berekening'!AF94)</f>
        <v>0</v>
      </c>
      <c r="AG95" s="415">
        <f>'ORT aansluitingen'!AO66 * (1 - 'ORT Berekening'!AG94)</f>
        <v>0</v>
      </c>
      <c r="AH95" s="415">
        <f>'ORT aansluitingen'!AP66 * (1 - 'ORT Berekening'!AH94)</f>
        <v>0</v>
      </c>
      <c r="AI95" s="415">
        <f>'ORT aansluitingen'!AQ66 * (1 - 'ORT Berekening'!AI94)</f>
        <v>0</v>
      </c>
      <c r="AJ95" s="415">
        <f>'ORT aansluitingen'!AR66 * (1 - 'ORT Berekening'!AJ94)</f>
        <v>0</v>
      </c>
      <c r="AK95" s="415">
        <f>'ORT aansluitingen'!AS66 * (1 - 'ORT Berekening'!AK94)</f>
        <v>0</v>
      </c>
      <c r="AL95" s="415">
        <f>'ORT aansluitingen'!AT66 * (1 - 'ORT Berekening'!AL94)</f>
        <v>0</v>
      </c>
      <c r="AM95" s="415">
        <f>'ORT aansluitingen'!AU66 * (1 - 'ORT Berekening'!AM94)</f>
        <v>0</v>
      </c>
      <c r="AN95" s="415">
        <f>'ORT aansluitingen'!AV66 * (1 - 'ORT Berekening'!AN94)</f>
        <v>0</v>
      </c>
      <c r="AO95" s="415">
        <f>'ORT aansluitingen'!AW66 * (1 - 'ORT Berekening'!AO94)</f>
        <v>0</v>
      </c>
      <c r="AP95" s="415">
        <f>'ORT aansluitingen'!AX66 * (1 - 'ORT Berekening'!AP94)</f>
        <v>0</v>
      </c>
      <c r="AQ95" s="415">
        <f>'ORT aansluitingen'!AY66 * (1 - 'ORT Berekening'!AQ94)</f>
        <v>0</v>
      </c>
    </row>
    <row r="96" spans="1:43" s="415" customFormat="1" x14ac:dyDescent="0.2">
      <c r="A96" s="413"/>
      <c r="B96" s="411"/>
      <c r="C96" s="411"/>
      <c r="D96" s="411"/>
      <c r="E96" s="325" t="str">
        <f>'ORT uitgangspunten'!E41</f>
        <v>Marge inkomsten minus productie kleinverbruik</v>
      </c>
      <c r="F96" s="325" t="e">
        <f>'ORT uitgangspunten'!G41</f>
        <v>#N/A</v>
      </c>
      <c r="G96" s="325" t="str">
        <f>'ORT uitgangspunten'!H41</f>
        <v>[€/GJ]</v>
      </c>
      <c r="H96" s="336"/>
      <c r="I96" s="411"/>
      <c r="J96" s="411"/>
      <c r="K96" s="411"/>
      <c r="L96" s="411"/>
    </row>
    <row r="97" spans="1:43" s="415" customFormat="1" x14ac:dyDescent="0.2">
      <c r="A97" s="414"/>
      <c r="E97" s="354" t="s">
        <v>342</v>
      </c>
      <c r="F97" s="354"/>
      <c r="G97" s="354"/>
      <c r="H97" s="343"/>
      <c r="I97" s="343"/>
      <c r="J97" s="343"/>
      <c r="K97" s="343"/>
      <c r="L97" s="343"/>
      <c r="M97" s="354" t="e">
        <f t="shared" ref="M97:AQ97" si="22">M9 * M95 * $F$96</f>
        <v>#N/A</v>
      </c>
      <c r="N97" s="354" t="e">
        <f t="shared" si="22"/>
        <v>#N/A</v>
      </c>
      <c r="O97" s="354" t="e">
        <f t="shared" si="22"/>
        <v>#N/A</v>
      </c>
      <c r="P97" s="354" t="e">
        <f t="shared" si="22"/>
        <v>#N/A</v>
      </c>
      <c r="Q97" s="354" t="e">
        <f t="shared" si="22"/>
        <v>#N/A</v>
      </c>
      <c r="R97" s="354" t="e">
        <f t="shared" si="22"/>
        <v>#N/A</v>
      </c>
      <c r="S97" s="354" t="e">
        <f t="shared" si="22"/>
        <v>#N/A</v>
      </c>
      <c r="T97" s="354" t="e">
        <f t="shared" si="22"/>
        <v>#N/A</v>
      </c>
      <c r="U97" s="354" t="e">
        <f t="shared" si="22"/>
        <v>#N/A</v>
      </c>
      <c r="V97" s="354" t="e">
        <f t="shared" si="22"/>
        <v>#N/A</v>
      </c>
      <c r="W97" s="354" t="e">
        <f t="shared" si="22"/>
        <v>#N/A</v>
      </c>
      <c r="X97" s="354" t="e">
        <f t="shared" si="22"/>
        <v>#N/A</v>
      </c>
      <c r="Y97" s="354" t="e">
        <f t="shared" si="22"/>
        <v>#N/A</v>
      </c>
      <c r="Z97" s="354" t="e">
        <f t="shared" si="22"/>
        <v>#N/A</v>
      </c>
      <c r="AA97" s="354" t="e">
        <f t="shared" si="22"/>
        <v>#N/A</v>
      </c>
      <c r="AB97" s="354" t="e">
        <f t="shared" si="22"/>
        <v>#N/A</v>
      </c>
      <c r="AC97" s="354" t="e">
        <f t="shared" si="22"/>
        <v>#N/A</v>
      </c>
      <c r="AD97" s="354" t="e">
        <f t="shared" si="22"/>
        <v>#N/A</v>
      </c>
      <c r="AE97" s="354" t="e">
        <f t="shared" si="22"/>
        <v>#N/A</v>
      </c>
      <c r="AF97" s="354" t="e">
        <f t="shared" si="22"/>
        <v>#N/A</v>
      </c>
      <c r="AG97" s="354" t="e">
        <f t="shared" si="22"/>
        <v>#N/A</v>
      </c>
      <c r="AH97" s="354" t="e">
        <f t="shared" si="22"/>
        <v>#N/A</v>
      </c>
      <c r="AI97" s="354" t="e">
        <f t="shared" si="22"/>
        <v>#N/A</v>
      </c>
      <c r="AJ97" s="354" t="e">
        <f t="shared" si="22"/>
        <v>#N/A</v>
      </c>
      <c r="AK97" s="354" t="e">
        <f t="shared" si="22"/>
        <v>#N/A</v>
      </c>
      <c r="AL97" s="354" t="e">
        <f t="shared" si="22"/>
        <v>#N/A</v>
      </c>
      <c r="AM97" s="354" t="e">
        <f t="shared" si="22"/>
        <v>#N/A</v>
      </c>
      <c r="AN97" s="354" t="e">
        <f t="shared" si="22"/>
        <v>#N/A</v>
      </c>
      <c r="AO97" s="354" t="e">
        <f t="shared" si="22"/>
        <v>#N/A</v>
      </c>
      <c r="AP97" s="354" t="e">
        <f t="shared" si="22"/>
        <v>#N/A</v>
      </c>
      <c r="AQ97" s="354" t="e">
        <f t="shared" si="22"/>
        <v>#N/A</v>
      </c>
    </row>
    <row r="98" spans="1:43" s="415" customFormat="1" x14ac:dyDescent="0.2">
      <c r="A98" s="414"/>
      <c r="E98" s="354"/>
      <c r="F98" s="354"/>
      <c r="G98" s="354"/>
      <c r="H98" s="343"/>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P98" s="354"/>
      <c r="AQ98" s="354"/>
    </row>
    <row r="99" spans="1:43" x14ac:dyDescent="0.2">
      <c r="E99" s="325" t="str">
        <f>'ORT aansluitingen'!F69</f>
        <v>Aantal aansluitingen gestapeld (cumulatief)</v>
      </c>
      <c r="F99" s="343"/>
      <c r="G99" s="343"/>
      <c r="M99" s="411">
        <f>'ORT aansluitingen'!U69</f>
        <v>0</v>
      </c>
      <c r="N99" s="411">
        <f>'ORT aansluitingen'!V69</f>
        <v>0</v>
      </c>
      <c r="O99" s="411">
        <f>'ORT aansluitingen'!W69</f>
        <v>0</v>
      </c>
      <c r="P99" s="411">
        <f>'ORT aansluitingen'!X69</f>
        <v>0</v>
      </c>
      <c r="Q99" s="411">
        <f>'ORT aansluitingen'!Y69</f>
        <v>0</v>
      </c>
      <c r="R99" s="411">
        <f>'ORT aansluitingen'!Z69</f>
        <v>0</v>
      </c>
      <c r="S99" s="411">
        <f>'ORT aansluitingen'!AA69</f>
        <v>0</v>
      </c>
      <c r="T99" s="411">
        <f>'ORT aansluitingen'!AB69</f>
        <v>0</v>
      </c>
      <c r="U99" s="411">
        <f>'ORT aansluitingen'!AC69</f>
        <v>0</v>
      </c>
      <c r="V99" s="411">
        <f>'ORT aansluitingen'!AD69</f>
        <v>0</v>
      </c>
      <c r="W99" s="411">
        <f>'ORT aansluitingen'!AE69</f>
        <v>0</v>
      </c>
      <c r="X99" s="411">
        <f>'ORT aansluitingen'!AF69</f>
        <v>0</v>
      </c>
      <c r="Y99" s="411">
        <f>'ORT aansluitingen'!AG69</f>
        <v>0</v>
      </c>
      <c r="Z99" s="411">
        <f>'ORT aansluitingen'!AH69</f>
        <v>0</v>
      </c>
      <c r="AA99" s="411">
        <f>'ORT aansluitingen'!AI69</f>
        <v>0</v>
      </c>
      <c r="AB99" s="411">
        <f>'ORT aansluitingen'!AJ69</f>
        <v>0</v>
      </c>
      <c r="AC99" s="411">
        <f>'ORT aansluitingen'!AK69</f>
        <v>0</v>
      </c>
      <c r="AD99" s="411">
        <f>'ORT aansluitingen'!AL69</f>
        <v>0</v>
      </c>
      <c r="AE99" s="411">
        <f>'ORT aansluitingen'!AM69</f>
        <v>0</v>
      </c>
      <c r="AF99" s="411">
        <f>'ORT aansluitingen'!AN69</f>
        <v>0</v>
      </c>
      <c r="AG99" s="411">
        <f>'ORT aansluitingen'!AO69</f>
        <v>0</v>
      </c>
      <c r="AH99" s="411">
        <f>'ORT aansluitingen'!AP69</f>
        <v>0</v>
      </c>
      <c r="AI99" s="411">
        <f>'ORT aansluitingen'!AQ69</f>
        <v>0</v>
      </c>
      <c r="AJ99" s="411">
        <f>'ORT aansluitingen'!AR69</f>
        <v>0</v>
      </c>
      <c r="AK99" s="411">
        <f>'ORT aansluitingen'!AS69</f>
        <v>0</v>
      </c>
      <c r="AL99" s="411">
        <f>'ORT aansluitingen'!AT69</f>
        <v>0</v>
      </c>
      <c r="AM99" s="411">
        <f>'ORT aansluitingen'!AU69</f>
        <v>0</v>
      </c>
      <c r="AN99" s="411">
        <f>'ORT aansluitingen'!AV69</f>
        <v>0</v>
      </c>
      <c r="AO99" s="411">
        <f>'ORT aansluitingen'!AW69</f>
        <v>0</v>
      </c>
      <c r="AP99" s="411">
        <f>'ORT aansluitingen'!AX69</f>
        <v>0</v>
      </c>
      <c r="AQ99" s="411">
        <f>'ORT aansluitingen'!AY69</f>
        <v>0</v>
      </c>
    </row>
    <row r="100" spans="1:43" s="415" customFormat="1" x14ac:dyDescent="0.2">
      <c r="A100" s="414"/>
      <c r="E100" s="343" t="s">
        <v>341</v>
      </c>
      <c r="F100" s="354"/>
      <c r="G100" s="354"/>
      <c r="H100" s="354"/>
      <c r="I100" s="354"/>
      <c r="J100" s="354"/>
      <c r="K100" s="354"/>
      <c r="L100" s="354"/>
      <c r="M100" s="343" t="e">
        <f t="shared" ref="M100:AQ100" si="23">M9 * L99 * ($F$90 + $F$91)</f>
        <v>#N/A</v>
      </c>
      <c r="N100" s="343" t="e">
        <f t="shared" si="23"/>
        <v>#N/A</v>
      </c>
      <c r="O100" s="343" t="e">
        <f t="shared" si="23"/>
        <v>#N/A</v>
      </c>
      <c r="P100" s="343" t="e">
        <f t="shared" si="23"/>
        <v>#N/A</v>
      </c>
      <c r="Q100" s="343" t="e">
        <f t="shared" si="23"/>
        <v>#N/A</v>
      </c>
      <c r="R100" s="343" t="e">
        <f t="shared" si="23"/>
        <v>#N/A</v>
      </c>
      <c r="S100" s="343" t="e">
        <f t="shared" si="23"/>
        <v>#N/A</v>
      </c>
      <c r="T100" s="343" t="e">
        <f t="shared" si="23"/>
        <v>#N/A</v>
      </c>
      <c r="U100" s="343" t="e">
        <f t="shared" si="23"/>
        <v>#N/A</v>
      </c>
      <c r="V100" s="343" t="e">
        <f t="shared" si="23"/>
        <v>#N/A</v>
      </c>
      <c r="W100" s="343" t="e">
        <f t="shared" si="23"/>
        <v>#N/A</v>
      </c>
      <c r="X100" s="343" t="e">
        <f t="shared" si="23"/>
        <v>#N/A</v>
      </c>
      <c r="Y100" s="343" t="e">
        <f t="shared" si="23"/>
        <v>#N/A</v>
      </c>
      <c r="Z100" s="343" t="e">
        <f t="shared" si="23"/>
        <v>#N/A</v>
      </c>
      <c r="AA100" s="343" t="e">
        <f t="shared" si="23"/>
        <v>#N/A</v>
      </c>
      <c r="AB100" s="343" t="e">
        <f t="shared" si="23"/>
        <v>#N/A</v>
      </c>
      <c r="AC100" s="343" t="e">
        <f t="shared" si="23"/>
        <v>#N/A</v>
      </c>
      <c r="AD100" s="343" t="e">
        <f t="shared" si="23"/>
        <v>#N/A</v>
      </c>
      <c r="AE100" s="343" t="e">
        <f t="shared" si="23"/>
        <v>#N/A</v>
      </c>
      <c r="AF100" s="343" t="e">
        <f t="shared" si="23"/>
        <v>#N/A</v>
      </c>
      <c r="AG100" s="343" t="e">
        <f t="shared" si="23"/>
        <v>#N/A</v>
      </c>
      <c r="AH100" s="343" t="e">
        <f t="shared" si="23"/>
        <v>#N/A</v>
      </c>
      <c r="AI100" s="343" t="e">
        <f t="shared" si="23"/>
        <v>#N/A</v>
      </c>
      <c r="AJ100" s="343" t="e">
        <f t="shared" si="23"/>
        <v>#N/A</v>
      </c>
      <c r="AK100" s="343" t="e">
        <f t="shared" si="23"/>
        <v>#N/A</v>
      </c>
      <c r="AL100" s="343" t="e">
        <f t="shared" si="23"/>
        <v>#N/A</v>
      </c>
      <c r="AM100" s="343" t="e">
        <f t="shared" si="23"/>
        <v>#N/A</v>
      </c>
      <c r="AN100" s="343" t="e">
        <f t="shared" si="23"/>
        <v>#N/A</v>
      </c>
      <c r="AO100" s="343" t="e">
        <f t="shared" si="23"/>
        <v>#N/A</v>
      </c>
      <c r="AP100" s="343" t="e">
        <f t="shared" si="23"/>
        <v>#N/A</v>
      </c>
      <c r="AQ100" s="343" t="e">
        <f t="shared" si="23"/>
        <v>#N/A</v>
      </c>
    </row>
    <row r="101" spans="1:43" s="336" customFormat="1" x14ac:dyDescent="0.2">
      <c r="A101" s="340"/>
      <c r="G101" s="325"/>
      <c r="H101" s="325"/>
    </row>
    <row r="102" spans="1:43" s="336" customFormat="1" x14ac:dyDescent="0.2">
      <c r="A102" s="340"/>
      <c r="E102" s="336" t="str">
        <f>'ORT aansluitingen'!F70</f>
        <v>Warmteverbruik gestapeld</v>
      </c>
      <c r="H102" s="325"/>
      <c r="M102" s="336">
        <f>'ORT aansluitingen'!U70 * (1 - 'ORT Berekening'!M94)</f>
        <v>0</v>
      </c>
      <c r="N102" s="336">
        <f>'ORT aansluitingen'!V70 * (1 - 'ORT Berekening'!N94)</f>
        <v>0</v>
      </c>
      <c r="O102" s="336">
        <f>'ORT aansluitingen'!W70 * (1 - 'ORT Berekening'!O94)</f>
        <v>0</v>
      </c>
      <c r="P102" s="336">
        <f>'ORT aansluitingen'!X70 * (1 - 'ORT Berekening'!P94)</f>
        <v>0</v>
      </c>
      <c r="Q102" s="336">
        <f>'ORT aansluitingen'!Y70 * (1 - 'ORT Berekening'!Q94)</f>
        <v>0</v>
      </c>
      <c r="R102" s="336">
        <f>'ORT aansluitingen'!Z70 * (1 - 'ORT Berekening'!R94)</f>
        <v>0</v>
      </c>
      <c r="S102" s="336">
        <f>'ORT aansluitingen'!AA70 * (1 - 'ORT Berekening'!S94)</f>
        <v>0</v>
      </c>
      <c r="T102" s="336">
        <f>'ORT aansluitingen'!AB70 * (1 - 'ORT Berekening'!T94)</f>
        <v>0</v>
      </c>
      <c r="U102" s="336">
        <f>'ORT aansluitingen'!AC70 * (1 - 'ORT Berekening'!U94)</f>
        <v>0</v>
      </c>
      <c r="V102" s="336">
        <f>'ORT aansluitingen'!AD70 * (1 - 'ORT Berekening'!V94)</f>
        <v>0</v>
      </c>
      <c r="W102" s="336">
        <f>'ORT aansluitingen'!AE70 * (1 - 'ORT Berekening'!W94)</f>
        <v>0</v>
      </c>
      <c r="X102" s="336">
        <f>'ORT aansluitingen'!AF70 * (1 - 'ORT Berekening'!X94)</f>
        <v>0</v>
      </c>
      <c r="Y102" s="336">
        <f>'ORT aansluitingen'!AG70 * (1 - 'ORT Berekening'!Y94)</f>
        <v>0</v>
      </c>
      <c r="Z102" s="336">
        <f>'ORT aansluitingen'!AH70 * (1 - 'ORT Berekening'!Z94)</f>
        <v>0</v>
      </c>
      <c r="AA102" s="336">
        <f>'ORT aansluitingen'!AI70 * (1 - 'ORT Berekening'!AA94)</f>
        <v>0</v>
      </c>
      <c r="AB102" s="336">
        <f>'ORT aansluitingen'!AJ70 * (1 - 'ORT Berekening'!AB94)</f>
        <v>0</v>
      </c>
      <c r="AC102" s="336">
        <f>'ORT aansluitingen'!AK70 * (1 - 'ORT Berekening'!AC94)</f>
        <v>0</v>
      </c>
      <c r="AD102" s="336">
        <f>'ORT aansluitingen'!AL70 * (1 - 'ORT Berekening'!AD94)</f>
        <v>0</v>
      </c>
      <c r="AE102" s="336">
        <f>'ORT aansluitingen'!AM70 * (1 - 'ORT Berekening'!AE94)</f>
        <v>0</v>
      </c>
      <c r="AF102" s="336">
        <f>'ORT aansluitingen'!AN70 * (1 - 'ORT Berekening'!AF94)</f>
        <v>0</v>
      </c>
      <c r="AG102" s="336">
        <f>'ORT aansluitingen'!AO70 * (1 - 'ORT Berekening'!AG94)</f>
        <v>0</v>
      </c>
      <c r="AH102" s="336">
        <f>'ORT aansluitingen'!AP70 * (1 - 'ORT Berekening'!AH94)</f>
        <v>0</v>
      </c>
      <c r="AI102" s="336">
        <f>'ORT aansluitingen'!AQ70 * (1 - 'ORT Berekening'!AI94)</f>
        <v>0</v>
      </c>
      <c r="AJ102" s="336">
        <f>'ORT aansluitingen'!AR70 * (1 - 'ORT Berekening'!AJ94)</f>
        <v>0</v>
      </c>
      <c r="AK102" s="336">
        <f>'ORT aansluitingen'!AS70 * (1 - 'ORT Berekening'!AK94)</f>
        <v>0</v>
      </c>
      <c r="AL102" s="336">
        <f>'ORT aansluitingen'!AT70 * (1 - 'ORT Berekening'!AL94)</f>
        <v>0</v>
      </c>
      <c r="AM102" s="336">
        <f>'ORT aansluitingen'!AU70 * (1 - 'ORT Berekening'!AM94)</f>
        <v>0</v>
      </c>
      <c r="AN102" s="336">
        <f>'ORT aansluitingen'!AV70 * (1 - 'ORT Berekening'!AN94)</f>
        <v>0</v>
      </c>
      <c r="AO102" s="336">
        <f>'ORT aansluitingen'!AW70 * (1 - 'ORT Berekening'!AO94)</f>
        <v>0</v>
      </c>
      <c r="AP102" s="336">
        <f>'ORT aansluitingen'!AX70 * (1 - 'ORT Berekening'!AP94)</f>
        <v>0</v>
      </c>
      <c r="AQ102" s="336">
        <f>'ORT aansluitingen'!AY70 * (1 - 'ORT Berekening'!AQ94)</f>
        <v>0</v>
      </c>
    </row>
    <row r="103" spans="1:43" s="415" customFormat="1" x14ac:dyDescent="0.2">
      <c r="A103" s="414"/>
      <c r="E103" s="354" t="s">
        <v>340</v>
      </c>
      <c r="F103" s="354"/>
      <c r="G103" s="354"/>
      <c r="H103" s="354"/>
      <c r="I103" s="354"/>
      <c r="J103" s="354"/>
      <c r="K103" s="354"/>
      <c r="L103" s="354"/>
      <c r="M103" s="354" t="e">
        <f t="shared" ref="M103:AQ103" si="24">M9 * $F$96 * M102</f>
        <v>#N/A</v>
      </c>
      <c r="N103" s="354" t="e">
        <f t="shared" si="24"/>
        <v>#N/A</v>
      </c>
      <c r="O103" s="354" t="e">
        <f t="shared" si="24"/>
        <v>#N/A</v>
      </c>
      <c r="P103" s="354" t="e">
        <f t="shared" si="24"/>
        <v>#N/A</v>
      </c>
      <c r="Q103" s="354" t="e">
        <f t="shared" si="24"/>
        <v>#N/A</v>
      </c>
      <c r="R103" s="354" t="e">
        <f t="shared" si="24"/>
        <v>#N/A</v>
      </c>
      <c r="S103" s="354" t="e">
        <f t="shared" si="24"/>
        <v>#N/A</v>
      </c>
      <c r="T103" s="354" t="e">
        <f t="shared" si="24"/>
        <v>#N/A</v>
      </c>
      <c r="U103" s="354" t="e">
        <f t="shared" si="24"/>
        <v>#N/A</v>
      </c>
      <c r="V103" s="354" t="e">
        <f t="shared" si="24"/>
        <v>#N/A</v>
      </c>
      <c r="W103" s="354" t="e">
        <f t="shared" si="24"/>
        <v>#N/A</v>
      </c>
      <c r="X103" s="354" t="e">
        <f t="shared" si="24"/>
        <v>#N/A</v>
      </c>
      <c r="Y103" s="354" t="e">
        <f t="shared" si="24"/>
        <v>#N/A</v>
      </c>
      <c r="Z103" s="354" t="e">
        <f t="shared" si="24"/>
        <v>#N/A</v>
      </c>
      <c r="AA103" s="354" t="e">
        <f t="shared" si="24"/>
        <v>#N/A</v>
      </c>
      <c r="AB103" s="354" t="e">
        <f t="shared" si="24"/>
        <v>#N/A</v>
      </c>
      <c r="AC103" s="354" t="e">
        <f t="shared" si="24"/>
        <v>#N/A</v>
      </c>
      <c r="AD103" s="354" t="e">
        <f t="shared" si="24"/>
        <v>#N/A</v>
      </c>
      <c r="AE103" s="354" t="e">
        <f t="shared" si="24"/>
        <v>#N/A</v>
      </c>
      <c r="AF103" s="354" t="e">
        <f t="shared" si="24"/>
        <v>#N/A</v>
      </c>
      <c r="AG103" s="354" t="e">
        <f t="shared" si="24"/>
        <v>#N/A</v>
      </c>
      <c r="AH103" s="354" t="e">
        <f t="shared" si="24"/>
        <v>#N/A</v>
      </c>
      <c r="AI103" s="354" t="e">
        <f t="shared" si="24"/>
        <v>#N/A</v>
      </c>
      <c r="AJ103" s="354" t="e">
        <f t="shared" si="24"/>
        <v>#N/A</v>
      </c>
      <c r="AK103" s="354" t="e">
        <f t="shared" si="24"/>
        <v>#N/A</v>
      </c>
      <c r="AL103" s="354" t="e">
        <f t="shared" si="24"/>
        <v>#N/A</v>
      </c>
      <c r="AM103" s="354" t="e">
        <f t="shared" si="24"/>
        <v>#N/A</v>
      </c>
      <c r="AN103" s="354" t="e">
        <f t="shared" si="24"/>
        <v>#N/A</v>
      </c>
      <c r="AO103" s="354" t="e">
        <f t="shared" si="24"/>
        <v>#N/A</v>
      </c>
      <c r="AP103" s="354" t="e">
        <f t="shared" si="24"/>
        <v>#N/A</v>
      </c>
      <c r="AQ103" s="354" t="e">
        <f t="shared" si="24"/>
        <v>#N/A</v>
      </c>
    </row>
    <row r="104" spans="1:43" s="415" customFormat="1" x14ac:dyDescent="0.2">
      <c r="A104" s="41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c r="AP104" s="354"/>
      <c r="AQ104" s="354"/>
    </row>
    <row r="105" spans="1:43" s="355" customFormat="1" x14ac:dyDescent="0.2">
      <c r="A105" s="356"/>
      <c r="E105" s="355" t="s">
        <v>339</v>
      </c>
      <c r="G105" s="353"/>
      <c r="H105" s="353"/>
      <c r="M105" s="355" t="e">
        <f t="shared" ref="M105:AQ105" si="25" xml:space="preserve"> M92 + M97 + M100 + M103</f>
        <v>#N/A</v>
      </c>
      <c r="N105" s="355" t="e">
        <f t="shared" si="25"/>
        <v>#N/A</v>
      </c>
      <c r="O105" s="355" t="e">
        <f t="shared" si="25"/>
        <v>#N/A</v>
      </c>
      <c r="P105" s="355" t="e">
        <f t="shared" si="25"/>
        <v>#N/A</v>
      </c>
      <c r="Q105" s="355" t="e">
        <f t="shared" si="25"/>
        <v>#N/A</v>
      </c>
      <c r="R105" s="355" t="e">
        <f t="shared" si="25"/>
        <v>#N/A</v>
      </c>
      <c r="S105" s="355" t="e">
        <f t="shared" si="25"/>
        <v>#N/A</v>
      </c>
      <c r="T105" s="355" t="e">
        <f t="shared" si="25"/>
        <v>#N/A</v>
      </c>
      <c r="U105" s="355" t="e">
        <f t="shared" si="25"/>
        <v>#N/A</v>
      </c>
      <c r="V105" s="355" t="e">
        <f t="shared" si="25"/>
        <v>#N/A</v>
      </c>
      <c r="W105" s="355" t="e">
        <f t="shared" si="25"/>
        <v>#N/A</v>
      </c>
      <c r="X105" s="355" t="e">
        <f t="shared" si="25"/>
        <v>#N/A</v>
      </c>
      <c r="Y105" s="355" t="e">
        <f t="shared" si="25"/>
        <v>#N/A</v>
      </c>
      <c r="Z105" s="355" t="e">
        <f t="shared" si="25"/>
        <v>#N/A</v>
      </c>
      <c r="AA105" s="355" t="e">
        <f t="shared" si="25"/>
        <v>#N/A</v>
      </c>
      <c r="AB105" s="355" t="e">
        <f t="shared" si="25"/>
        <v>#N/A</v>
      </c>
      <c r="AC105" s="355" t="e">
        <f t="shared" si="25"/>
        <v>#N/A</v>
      </c>
      <c r="AD105" s="355" t="e">
        <f t="shared" si="25"/>
        <v>#N/A</v>
      </c>
      <c r="AE105" s="355" t="e">
        <f t="shared" si="25"/>
        <v>#N/A</v>
      </c>
      <c r="AF105" s="355" t="e">
        <f t="shared" si="25"/>
        <v>#N/A</v>
      </c>
      <c r="AG105" s="355" t="e">
        <f t="shared" si="25"/>
        <v>#N/A</v>
      </c>
      <c r="AH105" s="355" t="e">
        <f t="shared" si="25"/>
        <v>#N/A</v>
      </c>
      <c r="AI105" s="355" t="e">
        <f t="shared" si="25"/>
        <v>#N/A</v>
      </c>
      <c r="AJ105" s="355" t="e">
        <f t="shared" si="25"/>
        <v>#N/A</v>
      </c>
      <c r="AK105" s="355" t="e">
        <f t="shared" si="25"/>
        <v>#N/A</v>
      </c>
      <c r="AL105" s="355" t="e">
        <f t="shared" si="25"/>
        <v>#N/A</v>
      </c>
      <c r="AM105" s="355" t="e">
        <f t="shared" si="25"/>
        <v>#N/A</v>
      </c>
      <c r="AN105" s="355" t="e">
        <f t="shared" si="25"/>
        <v>#N/A</v>
      </c>
      <c r="AO105" s="355" t="e">
        <f t="shared" si="25"/>
        <v>#N/A</v>
      </c>
      <c r="AP105" s="355" t="e">
        <f t="shared" si="25"/>
        <v>#N/A</v>
      </c>
      <c r="AQ105" s="355" t="e">
        <f t="shared" si="25"/>
        <v>#N/A</v>
      </c>
    </row>
    <row r="106" spans="1:43" s="415" customFormat="1" x14ac:dyDescent="0.2">
      <c r="A106" s="414"/>
      <c r="E106" s="354"/>
      <c r="F106" s="354"/>
      <c r="G106" s="354"/>
      <c r="H106" s="343"/>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c r="AP106" s="354"/>
      <c r="AQ106" s="354"/>
    </row>
    <row r="107" spans="1:43" x14ac:dyDescent="0.2">
      <c r="A107" s="342"/>
      <c r="B107" s="470" t="s">
        <v>517</v>
      </c>
      <c r="C107" s="471"/>
      <c r="D107" s="471"/>
      <c r="E107" s="471"/>
      <c r="F107" s="471"/>
      <c r="G107" s="471"/>
      <c r="H107" s="471"/>
      <c r="I107" s="471"/>
      <c r="J107" s="471"/>
      <c r="K107" s="471"/>
      <c r="L107" s="471"/>
    </row>
    <row r="108" spans="1:43" x14ac:dyDescent="0.2"/>
    <row r="109" spans="1:43" s="413" customFormat="1" x14ac:dyDescent="0.2">
      <c r="E109" s="336" t="str">
        <f>E85</f>
        <v>Totaal aansluitbijdragen</v>
      </c>
      <c r="F109" s="352">
        <v>30</v>
      </c>
      <c r="G109" s="351" t="s">
        <v>43</v>
      </c>
      <c r="M109" s="413">
        <f t="shared" ref="M109:AQ109" si="26">M85</f>
        <v>0</v>
      </c>
      <c r="N109" s="413">
        <f t="shared" si="26"/>
        <v>0</v>
      </c>
      <c r="O109" s="413">
        <f t="shared" si="26"/>
        <v>0</v>
      </c>
      <c r="P109" s="413">
        <f t="shared" si="26"/>
        <v>0</v>
      </c>
      <c r="Q109" s="413">
        <f t="shared" si="26"/>
        <v>0</v>
      </c>
      <c r="R109" s="413">
        <f t="shared" si="26"/>
        <v>0</v>
      </c>
      <c r="S109" s="413">
        <f t="shared" si="26"/>
        <v>0</v>
      </c>
      <c r="T109" s="413">
        <f t="shared" si="26"/>
        <v>0</v>
      </c>
      <c r="U109" s="413">
        <f t="shared" si="26"/>
        <v>0</v>
      </c>
      <c r="V109" s="413">
        <f t="shared" si="26"/>
        <v>0</v>
      </c>
      <c r="W109" s="413">
        <f t="shared" si="26"/>
        <v>0</v>
      </c>
      <c r="X109" s="413">
        <f t="shared" si="26"/>
        <v>0</v>
      </c>
      <c r="Y109" s="413">
        <f t="shared" si="26"/>
        <v>0</v>
      </c>
      <c r="Z109" s="413">
        <f t="shared" si="26"/>
        <v>0</v>
      </c>
      <c r="AA109" s="413">
        <f t="shared" si="26"/>
        <v>0</v>
      </c>
      <c r="AB109" s="413">
        <f t="shared" si="26"/>
        <v>0</v>
      </c>
      <c r="AC109" s="413">
        <f t="shared" si="26"/>
        <v>0</v>
      </c>
      <c r="AD109" s="413">
        <f t="shared" si="26"/>
        <v>0</v>
      </c>
      <c r="AE109" s="413">
        <f t="shared" si="26"/>
        <v>0</v>
      </c>
      <c r="AF109" s="413">
        <f t="shared" si="26"/>
        <v>0</v>
      </c>
      <c r="AG109" s="413">
        <f t="shared" si="26"/>
        <v>0</v>
      </c>
      <c r="AH109" s="413">
        <f t="shared" si="26"/>
        <v>0</v>
      </c>
      <c r="AI109" s="413">
        <f t="shared" si="26"/>
        <v>0</v>
      </c>
      <c r="AJ109" s="413">
        <f t="shared" si="26"/>
        <v>0</v>
      </c>
      <c r="AK109" s="413">
        <f t="shared" si="26"/>
        <v>0</v>
      </c>
      <c r="AL109" s="413">
        <f t="shared" si="26"/>
        <v>0</v>
      </c>
      <c r="AM109" s="413">
        <f t="shared" si="26"/>
        <v>0</v>
      </c>
      <c r="AN109" s="413">
        <f t="shared" si="26"/>
        <v>0</v>
      </c>
      <c r="AO109" s="413">
        <f t="shared" si="26"/>
        <v>0</v>
      </c>
      <c r="AP109" s="413">
        <f t="shared" si="26"/>
        <v>0</v>
      </c>
      <c r="AQ109" s="413">
        <f t="shared" si="26"/>
        <v>0</v>
      </c>
    </row>
    <row r="110" spans="1:43" s="351" customFormat="1" x14ac:dyDescent="0.2">
      <c r="E110" s="336" t="s">
        <v>316</v>
      </c>
      <c r="F110" s="352"/>
      <c r="M110" s="351">
        <f t="shared" ref="M110:AQ110" si="27" xml:space="preserve"> IF( M$6 - $F109 &lt;= 0, 0, - INDEX($M109:$AQ109, ,M$6 - $F109))</f>
        <v>0</v>
      </c>
      <c r="N110" s="351">
        <f t="shared" si="27"/>
        <v>0</v>
      </c>
      <c r="O110" s="351">
        <f t="shared" si="27"/>
        <v>0</v>
      </c>
      <c r="P110" s="351">
        <f t="shared" si="27"/>
        <v>0</v>
      </c>
      <c r="Q110" s="351">
        <f t="shared" si="27"/>
        <v>0</v>
      </c>
      <c r="R110" s="351">
        <f t="shared" si="27"/>
        <v>0</v>
      </c>
      <c r="S110" s="351">
        <f t="shared" si="27"/>
        <v>0</v>
      </c>
      <c r="T110" s="351">
        <f t="shared" si="27"/>
        <v>0</v>
      </c>
      <c r="U110" s="351">
        <f t="shared" si="27"/>
        <v>0</v>
      </c>
      <c r="V110" s="351">
        <f t="shared" si="27"/>
        <v>0</v>
      </c>
      <c r="W110" s="351">
        <f t="shared" si="27"/>
        <v>0</v>
      </c>
      <c r="X110" s="351">
        <f t="shared" si="27"/>
        <v>0</v>
      </c>
      <c r="Y110" s="351">
        <f t="shared" si="27"/>
        <v>0</v>
      </c>
      <c r="Z110" s="351">
        <f t="shared" si="27"/>
        <v>0</v>
      </c>
      <c r="AA110" s="351">
        <f t="shared" si="27"/>
        <v>0</v>
      </c>
      <c r="AB110" s="351">
        <f t="shared" si="27"/>
        <v>0</v>
      </c>
      <c r="AC110" s="351">
        <f t="shared" si="27"/>
        <v>0</v>
      </c>
      <c r="AD110" s="351">
        <f t="shared" si="27"/>
        <v>0</v>
      </c>
      <c r="AE110" s="351">
        <f t="shared" si="27"/>
        <v>0</v>
      </c>
      <c r="AF110" s="351">
        <f t="shared" si="27"/>
        <v>0</v>
      </c>
      <c r="AG110" s="351">
        <f t="shared" si="27"/>
        <v>0</v>
      </c>
      <c r="AH110" s="351">
        <f t="shared" si="27"/>
        <v>0</v>
      </c>
      <c r="AI110" s="351">
        <f t="shared" si="27"/>
        <v>0</v>
      </c>
      <c r="AJ110" s="351">
        <f t="shared" si="27"/>
        <v>0</v>
      </c>
      <c r="AK110" s="351">
        <f t="shared" si="27"/>
        <v>0</v>
      </c>
      <c r="AL110" s="351">
        <f t="shared" si="27"/>
        <v>0</v>
      </c>
      <c r="AM110" s="351">
        <f t="shared" si="27"/>
        <v>0</v>
      </c>
      <c r="AN110" s="351">
        <f t="shared" si="27"/>
        <v>0</v>
      </c>
      <c r="AO110" s="351">
        <f t="shared" si="27"/>
        <v>0</v>
      </c>
      <c r="AP110" s="351">
        <f t="shared" si="27"/>
        <v>0</v>
      </c>
      <c r="AQ110" s="351">
        <f t="shared" si="27"/>
        <v>0</v>
      </c>
    </row>
    <row r="111" spans="1:43" x14ac:dyDescent="0.2">
      <c r="E111" s="353" t="s">
        <v>518</v>
      </c>
      <c r="F111" s="348"/>
      <c r="G111" s="348"/>
      <c r="H111" s="349"/>
      <c r="I111" s="348"/>
      <c r="J111" s="348"/>
      <c r="K111" s="348"/>
      <c r="L111" s="348"/>
      <c r="M111" s="348">
        <f>SUM($L109:L110)/$F$109</f>
        <v>0</v>
      </c>
      <c r="N111" s="348">
        <f>SUM($L109:M110)/$F$109</f>
        <v>0</v>
      </c>
      <c r="O111" s="348">
        <f>SUM($L109:N110)/$F$109</f>
        <v>0</v>
      </c>
      <c r="P111" s="348">
        <f>SUM($L109:O110)/$F$109</f>
        <v>0</v>
      </c>
      <c r="Q111" s="348">
        <f>SUM($L109:P110)/$F$109</f>
        <v>0</v>
      </c>
      <c r="R111" s="348">
        <f>SUM($L109:Q110)/$F$109</f>
        <v>0</v>
      </c>
      <c r="S111" s="348">
        <f>SUM($L109:R110)/$F$109</f>
        <v>0</v>
      </c>
      <c r="T111" s="348">
        <f>SUM($L109:S110)/$F$109</f>
        <v>0</v>
      </c>
      <c r="U111" s="348">
        <f>SUM($L109:T110)/$F$109</f>
        <v>0</v>
      </c>
      <c r="V111" s="348">
        <f>SUM($L109:U110)/$F$109</f>
        <v>0</v>
      </c>
      <c r="W111" s="348">
        <f>SUM($L109:V110)/$F$109</f>
        <v>0</v>
      </c>
      <c r="X111" s="348">
        <f>SUM($L109:W110)/$F$109</f>
        <v>0</v>
      </c>
      <c r="Y111" s="348">
        <f>SUM($L109:X110)/$F$109</f>
        <v>0</v>
      </c>
      <c r="Z111" s="348">
        <f>SUM($L109:Y110)/$F$109</f>
        <v>0</v>
      </c>
      <c r="AA111" s="348">
        <f>SUM($L109:Z110)/$F$109</f>
        <v>0</v>
      </c>
      <c r="AB111" s="348">
        <f>SUM($L109:AA110)/$F$109</f>
        <v>0</v>
      </c>
      <c r="AC111" s="348">
        <f>SUM($L109:AB110)/$F$109</f>
        <v>0</v>
      </c>
      <c r="AD111" s="348">
        <f>SUM($L109:AC110)/$F$109</f>
        <v>0</v>
      </c>
      <c r="AE111" s="348">
        <f>SUM($L109:AD110)/$F$109</f>
        <v>0</v>
      </c>
      <c r="AF111" s="348">
        <f>SUM($L109:AE110)/$F$109</f>
        <v>0</v>
      </c>
      <c r="AG111" s="348">
        <f>SUM($L109:AF110)/$F$109</f>
        <v>0</v>
      </c>
      <c r="AH111" s="348">
        <f>SUM($L109:AG110)/$F$109</f>
        <v>0</v>
      </c>
      <c r="AI111" s="348">
        <f>SUM($L109:AH110)/$F$109</f>
        <v>0</v>
      </c>
      <c r="AJ111" s="348">
        <f>SUM($L109:AI110)/$F$109</f>
        <v>0</v>
      </c>
      <c r="AK111" s="348">
        <f>SUM($L109:AJ110)/$F$109</f>
        <v>0</v>
      </c>
      <c r="AL111" s="348">
        <f>SUM($L109:AK110)/$F$109</f>
        <v>0</v>
      </c>
      <c r="AM111" s="348">
        <f>SUM($L109:AL110)/$F$109</f>
        <v>0</v>
      </c>
      <c r="AN111" s="348">
        <f>SUM($L109:AM110)/$F$109</f>
        <v>0</v>
      </c>
      <c r="AO111" s="348">
        <f>SUM($L109:AN110)/$F$109</f>
        <v>0</v>
      </c>
      <c r="AP111" s="348">
        <f>SUM($L109:AO110)/$F$109</f>
        <v>0</v>
      </c>
      <c r="AQ111" s="348">
        <f>SUM($L109:AP110)/$F$109</f>
        <v>0</v>
      </c>
    </row>
    <row r="112" spans="1:43" s="345" customFormat="1" x14ac:dyDescent="0.2">
      <c r="A112" s="413"/>
      <c r="B112" s="413"/>
      <c r="C112" s="413"/>
      <c r="D112" s="413"/>
      <c r="E112" s="346"/>
      <c r="F112" s="346"/>
      <c r="G112" s="346"/>
      <c r="H112" s="346"/>
      <c r="I112" s="346"/>
      <c r="J112" s="346"/>
      <c r="K112" s="346"/>
      <c r="L112" s="346"/>
    </row>
    <row r="113" spans="1:43" x14ac:dyDescent="0.2">
      <c r="A113" s="342"/>
      <c r="B113" s="470" t="s">
        <v>338</v>
      </c>
      <c r="C113" s="471"/>
      <c r="D113" s="471"/>
      <c r="E113" s="471"/>
      <c r="F113" s="471"/>
      <c r="G113" s="471"/>
      <c r="H113" s="471"/>
      <c r="I113" s="471"/>
      <c r="J113" s="471"/>
      <c r="K113" s="471"/>
      <c r="L113" s="471"/>
    </row>
    <row r="114" spans="1:43" x14ac:dyDescent="0.2"/>
    <row r="115" spans="1:43" s="413" customFormat="1" x14ac:dyDescent="0.2">
      <c r="E115" s="351" t="s">
        <v>337</v>
      </c>
      <c r="F115" s="352"/>
      <c r="G115" s="351"/>
      <c r="M115" s="413" t="e">
        <f>M105-M74-M79</f>
        <v>#N/A</v>
      </c>
      <c r="N115" s="413" t="e">
        <f t="shared" ref="N115:AQ115" si="28">N105-N74-N79</f>
        <v>#N/A</v>
      </c>
      <c r="O115" s="413" t="e">
        <f t="shared" si="28"/>
        <v>#N/A</v>
      </c>
      <c r="P115" s="413" t="e">
        <f t="shared" si="28"/>
        <v>#N/A</v>
      </c>
      <c r="Q115" s="413" t="e">
        <f t="shared" si="28"/>
        <v>#N/A</v>
      </c>
      <c r="R115" s="413" t="e">
        <f t="shared" si="28"/>
        <v>#N/A</v>
      </c>
      <c r="S115" s="413" t="e">
        <f t="shared" si="28"/>
        <v>#N/A</v>
      </c>
      <c r="T115" s="413" t="e">
        <f t="shared" si="28"/>
        <v>#N/A</v>
      </c>
      <c r="U115" s="413" t="e">
        <f t="shared" si="28"/>
        <v>#N/A</v>
      </c>
      <c r="V115" s="413" t="e">
        <f t="shared" si="28"/>
        <v>#N/A</v>
      </c>
      <c r="W115" s="413" t="e">
        <f t="shared" si="28"/>
        <v>#N/A</v>
      </c>
      <c r="X115" s="413" t="e">
        <f t="shared" si="28"/>
        <v>#N/A</v>
      </c>
      <c r="Y115" s="413" t="e">
        <f t="shared" si="28"/>
        <v>#N/A</v>
      </c>
      <c r="Z115" s="413" t="e">
        <f t="shared" si="28"/>
        <v>#N/A</v>
      </c>
      <c r="AA115" s="413" t="e">
        <f t="shared" si="28"/>
        <v>#N/A</v>
      </c>
      <c r="AB115" s="413" t="e">
        <f t="shared" si="28"/>
        <v>#N/A</v>
      </c>
      <c r="AC115" s="413" t="e">
        <f t="shared" si="28"/>
        <v>#N/A</v>
      </c>
      <c r="AD115" s="413" t="e">
        <f t="shared" si="28"/>
        <v>#N/A</v>
      </c>
      <c r="AE115" s="413" t="e">
        <f t="shared" si="28"/>
        <v>#N/A</v>
      </c>
      <c r="AF115" s="413" t="e">
        <f t="shared" si="28"/>
        <v>#N/A</v>
      </c>
      <c r="AG115" s="413" t="e">
        <f t="shared" si="28"/>
        <v>#N/A</v>
      </c>
      <c r="AH115" s="413" t="e">
        <f t="shared" si="28"/>
        <v>#N/A</v>
      </c>
      <c r="AI115" s="413" t="e">
        <f t="shared" si="28"/>
        <v>#N/A</v>
      </c>
      <c r="AJ115" s="413" t="e">
        <f t="shared" si="28"/>
        <v>#N/A</v>
      </c>
      <c r="AK115" s="413" t="e">
        <f t="shared" si="28"/>
        <v>#N/A</v>
      </c>
      <c r="AL115" s="413" t="e">
        <f t="shared" si="28"/>
        <v>#N/A</v>
      </c>
      <c r="AM115" s="413" t="e">
        <f t="shared" si="28"/>
        <v>#N/A</v>
      </c>
      <c r="AN115" s="413" t="e">
        <f t="shared" si="28"/>
        <v>#N/A</v>
      </c>
      <c r="AO115" s="413" t="e">
        <f t="shared" si="28"/>
        <v>#N/A</v>
      </c>
      <c r="AP115" s="413" t="e">
        <f t="shared" si="28"/>
        <v>#N/A</v>
      </c>
      <c r="AQ115" s="413" t="e">
        <f t="shared" si="28"/>
        <v>#N/A</v>
      </c>
    </row>
    <row r="116" spans="1:43" x14ac:dyDescent="0.2">
      <c r="E116" s="325" t="s">
        <v>336</v>
      </c>
      <c r="F116" s="348"/>
      <c r="G116" s="348"/>
      <c r="H116" s="349"/>
      <c r="I116" s="348"/>
      <c r="J116" s="348"/>
      <c r="K116" s="348"/>
      <c r="L116" s="348"/>
      <c r="M116" s="348" t="e">
        <f t="shared" ref="M116:AQ116" si="29">M115+M111-M57</f>
        <v>#N/A</v>
      </c>
      <c r="N116" s="348" t="e">
        <f t="shared" si="29"/>
        <v>#N/A</v>
      </c>
      <c r="O116" s="348" t="e">
        <f t="shared" si="29"/>
        <v>#N/A</v>
      </c>
      <c r="P116" s="348" t="e">
        <f t="shared" si="29"/>
        <v>#N/A</v>
      </c>
      <c r="Q116" s="348" t="e">
        <f t="shared" si="29"/>
        <v>#N/A</v>
      </c>
      <c r="R116" s="348" t="e">
        <f t="shared" si="29"/>
        <v>#N/A</v>
      </c>
      <c r="S116" s="348" t="e">
        <f t="shared" si="29"/>
        <v>#N/A</v>
      </c>
      <c r="T116" s="348" t="e">
        <f t="shared" si="29"/>
        <v>#N/A</v>
      </c>
      <c r="U116" s="348" t="e">
        <f t="shared" si="29"/>
        <v>#N/A</v>
      </c>
      <c r="V116" s="348" t="e">
        <f t="shared" si="29"/>
        <v>#N/A</v>
      </c>
      <c r="W116" s="348" t="e">
        <f t="shared" si="29"/>
        <v>#N/A</v>
      </c>
      <c r="X116" s="348" t="e">
        <f t="shared" si="29"/>
        <v>#N/A</v>
      </c>
      <c r="Y116" s="348" t="e">
        <f t="shared" si="29"/>
        <v>#N/A</v>
      </c>
      <c r="Z116" s="348" t="e">
        <f t="shared" si="29"/>
        <v>#N/A</v>
      </c>
      <c r="AA116" s="348" t="e">
        <f t="shared" si="29"/>
        <v>#N/A</v>
      </c>
      <c r="AB116" s="348" t="e">
        <f t="shared" si="29"/>
        <v>#N/A</v>
      </c>
      <c r="AC116" s="348" t="e">
        <f t="shared" si="29"/>
        <v>#N/A</v>
      </c>
      <c r="AD116" s="348" t="e">
        <f t="shared" si="29"/>
        <v>#N/A</v>
      </c>
      <c r="AE116" s="348" t="e">
        <f t="shared" si="29"/>
        <v>#N/A</v>
      </c>
      <c r="AF116" s="348" t="e">
        <f t="shared" si="29"/>
        <v>#N/A</v>
      </c>
      <c r="AG116" s="348" t="e">
        <f t="shared" si="29"/>
        <v>#N/A</v>
      </c>
      <c r="AH116" s="348" t="e">
        <f t="shared" si="29"/>
        <v>#N/A</v>
      </c>
      <c r="AI116" s="348" t="e">
        <f t="shared" si="29"/>
        <v>#N/A</v>
      </c>
      <c r="AJ116" s="348" t="e">
        <f t="shared" si="29"/>
        <v>#N/A</v>
      </c>
      <c r="AK116" s="348" t="e">
        <f t="shared" si="29"/>
        <v>#N/A</v>
      </c>
      <c r="AL116" s="348" t="e">
        <f t="shared" si="29"/>
        <v>#N/A</v>
      </c>
      <c r="AM116" s="348" t="e">
        <f t="shared" si="29"/>
        <v>#N/A</v>
      </c>
      <c r="AN116" s="348" t="e">
        <f t="shared" si="29"/>
        <v>#N/A</v>
      </c>
      <c r="AO116" s="348" t="e">
        <f t="shared" si="29"/>
        <v>#N/A</v>
      </c>
      <c r="AP116" s="348" t="e">
        <f t="shared" si="29"/>
        <v>#N/A</v>
      </c>
      <c r="AQ116" s="348" t="e">
        <f t="shared" si="29"/>
        <v>#N/A</v>
      </c>
    </row>
    <row r="117" spans="1:43" x14ac:dyDescent="0.2">
      <c r="E117" s="325"/>
      <c r="F117" s="348"/>
      <c r="G117" s="348"/>
      <c r="H117" s="349"/>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row>
    <row r="118" spans="1:43" x14ac:dyDescent="0.2">
      <c r="E118" s="325" t="s">
        <v>335</v>
      </c>
      <c r="F118" s="348"/>
      <c r="G118" s="348"/>
      <c r="H118" s="349"/>
      <c r="I118" s="348"/>
      <c r="J118" s="348"/>
      <c r="K118" s="348"/>
      <c r="L118" s="348"/>
      <c r="M118" s="411">
        <f t="shared" ref="M118:AQ118" si="30">L122</f>
        <v>0</v>
      </c>
      <c r="N118" s="411" t="e">
        <f t="shared" si="30"/>
        <v>#N/A</v>
      </c>
      <c r="O118" s="411" t="e">
        <f t="shared" si="30"/>
        <v>#N/A</v>
      </c>
      <c r="P118" s="411" t="e">
        <f t="shared" si="30"/>
        <v>#N/A</v>
      </c>
      <c r="Q118" s="411" t="e">
        <f t="shared" si="30"/>
        <v>#N/A</v>
      </c>
      <c r="R118" s="411" t="e">
        <f t="shared" si="30"/>
        <v>#N/A</v>
      </c>
      <c r="S118" s="411" t="e">
        <f t="shared" si="30"/>
        <v>#N/A</v>
      </c>
      <c r="T118" s="411" t="e">
        <f t="shared" si="30"/>
        <v>#N/A</v>
      </c>
      <c r="U118" s="411" t="e">
        <f t="shared" si="30"/>
        <v>#N/A</v>
      </c>
      <c r="V118" s="411" t="e">
        <f t="shared" si="30"/>
        <v>#N/A</v>
      </c>
      <c r="W118" s="411" t="e">
        <f t="shared" si="30"/>
        <v>#N/A</v>
      </c>
      <c r="X118" s="411" t="e">
        <f t="shared" si="30"/>
        <v>#N/A</v>
      </c>
      <c r="Y118" s="411" t="e">
        <f t="shared" si="30"/>
        <v>#N/A</v>
      </c>
      <c r="Z118" s="411" t="e">
        <f t="shared" si="30"/>
        <v>#N/A</v>
      </c>
      <c r="AA118" s="411" t="e">
        <f t="shared" si="30"/>
        <v>#N/A</v>
      </c>
      <c r="AB118" s="411" t="e">
        <f t="shared" si="30"/>
        <v>#N/A</v>
      </c>
      <c r="AC118" s="411" t="e">
        <f t="shared" si="30"/>
        <v>#N/A</v>
      </c>
      <c r="AD118" s="411" t="e">
        <f t="shared" si="30"/>
        <v>#N/A</v>
      </c>
      <c r="AE118" s="411" t="e">
        <f t="shared" si="30"/>
        <v>#N/A</v>
      </c>
      <c r="AF118" s="411" t="e">
        <f t="shared" si="30"/>
        <v>#N/A</v>
      </c>
      <c r="AG118" s="411" t="e">
        <f t="shared" si="30"/>
        <v>#N/A</v>
      </c>
      <c r="AH118" s="411" t="e">
        <f t="shared" si="30"/>
        <v>#N/A</v>
      </c>
      <c r="AI118" s="411" t="e">
        <f t="shared" si="30"/>
        <v>#N/A</v>
      </c>
      <c r="AJ118" s="411" t="e">
        <f t="shared" si="30"/>
        <v>#N/A</v>
      </c>
      <c r="AK118" s="411" t="e">
        <f t="shared" si="30"/>
        <v>#N/A</v>
      </c>
      <c r="AL118" s="411" t="e">
        <f t="shared" si="30"/>
        <v>#N/A</v>
      </c>
      <c r="AM118" s="411" t="e">
        <f t="shared" si="30"/>
        <v>#N/A</v>
      </c>
      <c r="AN118" s="411" t="e">
        <f t="shared" si="30"/>
        <v>#N/A</v>
      </c>
      <c r="AO118" s="411" t="e">
        <f t="shared" si="30"/>
        <v>#N/A</v>
      </c>
      <c r="AP118" s="411" t="e">
        <f t="shared" si="30"/>
        <v>#N/A</v>
      </c>
      <c r="AQ118" s="411" t="e">
        <f t="shared" si="30"/>
        <v>#N/A</v>
      </c>
    </row>
    <row r="119" spans="1:43" x14ac:dyDescent="0.2">
      <c r="E119" s="325" t="s">
        <v>334</v>
      </c>
      <c r="F119" s="348"/>
      <c r="G119" s="348"/>
      <c r="H119" s="349"/>
      <c r="I119" s="348"/>
      <c r="J119" s="348"/>
      <c r="K119" s="348"/>
      <c r="L119" s="348"/>
      <c r="M119" s="348" t="e">
        <f t="shared" ref="M119:AQ119" si="31">(M116&lt;0)*M116</f>
        <v>#N/A</v>
      </c>
      <c r="N119" s="348" t="e">
        <f t="shared" si="31"/>
        <v>#N/A</v>
      </c>
      <c r="O119" s="348" t="e">
        <f t="shared" si="31"/>
        <v>#N/A</v>
      </c>
      <c r="P119" s="348" t="e">
        <f t="shared" si="31"/>
        <v>#N/A</v>
      </c>
      <c r="Q119" s="348" t="e">
        <f t="shared" si="31"/>
        <v>#N/A</v>
      </c>
      <c r="R119" s="348" t="e">
        <f t="shared" si="31"/>
        <v>#N/A</v>
      </c>
      <c r="S119" s="348" t="e">
        <f t="shared" si="31"/>
        <v>#N/A</v>
      </c>
      <c r="T119" s="348" t="e">
        <f t="shared" si="31"/>
        <v>#N/A</v>
      </c>
      <c r="U119" s="348" t="e">
        <f t="shared" si="31"/>
        <v>#N/A</v>
      </c>
      <c r="V119" s="348" t="e">
        <f t="shared" si="31"/>
        <v>#N/A</v>
      </c>
      <c r="W119" s="348" t="e">
        <f t="shared" si="31"/>
        <v>#N/A</v>
      </c>
      <c r="X119" s="348" t="e">
        <f t="shared" si="31"/>
        <v>#N/A</v>
      </c>
      <c r="Y119" s="348" t="e">
        <f t="shared" si="31"/>
        <v>#N/A</v>
      </c>
      <c r="Z119" s="348" t="e">
        <f t="shared" si="31"/>
        <v>#N/A</v>
      </c>
      <c r="AA119" s="348" t="e">
        <f t="shared" si="31"/>
        <v>#N/A</v>
      </c>
      <c r="AB119" s="348" t="e">
        <f t="shared" si="31"/>
        <v>#N/A</v>
      </c>
      <c r="AC119" s="348" t="e">
        <f t="shared" si="31"/>
        <v>#N/A</v>
      </c>
      <c r="AD119" s="348" t="e">
        <f t="shared" si="31"/>
        <v>#N/A</v>
      </c>
      <c r="AE119" s="348" t="e">
        <f t="shared" si="31"/>
        <v>#N/A</v>
      </c>
      <c r="AF119" s="348" t="e">
        <f t="shared" si="31"/>
        <v>#N/A</v>
      </c>
      <c r="AG119" s="348" t="e">
        <f t="shared" si="31"/>
        <v>#N/A</v>
      </c>
      <c r="AH119" s="348" t="e">
        <f t="shared" si="31"/>
        <v>#N/A</v>
      </c>
      <c r="AI119" s="348" t="e">
        <f t="shared" si="31"/>
        <v>#N/A</v>
      </c>
      <c r="AJ119" s="348" t="e">
        <f t="shared" si="31"/>
        <v>#N/A</v>
      </c>
      <c r="AK119" s="348" t="e">
        <f t="shared" si="31"/>
        <v>#N/A</v>
      </c>
      <c r="AL119" s="348" t="e">
        <f t="shared" si="31"/>
        <v>#N/A</v>
      </c>
      <c r="AM119" s="348" t="e">
        <f t="shared" si="31"/>
        <v>#N/A</v>
      </c>
      <c r="AN119" s="348" t="e">
        <f t="shared" si="31"/>
        <v>#N/A</v>
      </c>
      <c r="AO119" s="348" t="e">
        <f t="shared" si="31"/>
        <v>#N/A</v>
      </c>
      <c r="AP119" s="348" t="e">
        <f t="shared" si="31"/>
        <v>#N/A</v>
      </c>
      <c r="AQ119" s="348" t="e">
        <f t="shared" si="31"/>
        <v>#N/A</v>
      </c>
    </row>
    <row r="120" spans="1:43" x14ac:dyDescent="0.2">
      <c r="E120" s="325" t="s">
        <v>333</v>
      </c>
      <c r="F120" s="348"/>
      <c r="G120" s="348"/>
      <c r="H120" s="349"/>
      <c r="I120" s="348"/>
      <c r="J120" s="348"/>
      <c r="K120" s="348"/>
      <c r="L120" s="348"/>
      <c r="M120" s="348" t="e">
        <f t="shared" ref="M120:AQ120" si="32">-IF(AND((L116)&gt;0,M116&lt;0),MIN(-M116,(L116&lt;10^6)*L116+(L116&gt;=10^6)*(10^6+0.5*(L116-10^6))+L121),0)</f>
        <v>#N/A</v>
      </c>
      <c r="N120" s="348" t="e">
        <f t="shared" si="32"/>
        <v>#N/A</v>
      </c>
      <c r="O120" s="348" t="e">
        <f t="shared" si="32"/>
        <v>#N/A</v>
      </c>
      <c r="P120" s="348" t="e">
        <f t="shared" si="32"/>
        <v>#N/A</v>
      </c>
      <c r="Q120" s="348" t="e">
        <f t="shared" si="32"/>
        <v>#N/A</v>
      </c>
      <c r="R120" s="348" t="e">
        <f t="shared" si="32"/>
        <v>#N/A</v>
      </c>
      <c r="S120" s="348" t="e">
        <f t="shared" si="32"/>
        <v>#N/A</v>
      </c>
      <c r="T120" s="348" t="e">
        <f t="shared" si="32"/>
        <v>#N/A</v>
      </c>
      <c r="U120" s="348" t="e">
        <f t="shared" si="32"/>
        <v>#N/A</v>
      </c>
      <c r="V120" s="348" t="e">
        <f t="shared" si="32"/>
        <v>#N/A</v>
      </c>
      <c r="W120" s="348" t="e">
        <f t="shared" si="32"/>
        <v>#N/A</v>
      </c>
      <c r="X120" s="348" t="e">
        <f t="shared" si="32"/>
        <v>#N/A</v>
      </c>
      <c r="Y120" s="348" t="e">
        <f t="shared" si="32"/>
        <v>#N/A</v>
      </c>
      <c r="Z120" s="348" t="e">
        <f t="shared" si="32"/>
        <v>#N/A</v>
      </c>
      <c r="AA120" s="348" t="e">
        <f t="shared" si="32"/>
        <v>#N/A</v>
      </c>
      <c r="AB120" s="348" t="e">
        <f t="shared" si="32"/>
        <v>#N/A</v>
      </c>
      <c r="AC120" s="348" t="e">
        <f t="shared" si="32"/>
        <v>#N/A</v>
      </c>
      <c r="AD120" s="348" t="e">
        <f t="shared" si="32"/>
        <v>#N/A</v>
      </c>
      <c r="AE120" s="348" t="e">
        <f t="shared" si="32"/>
        <v>#N/A</v>
      </c>
      <c r="AF120" s="348" t="e">
        <f t="shared" si="32"/>
        <v>#N/A</v>
      </c>
      <c r="AG120" s="348" t="e">
        <f t="shared" si="32"/>
        <v>#N/A</v>
      </c>
      <c r="AH120" s="348" t="e">
        <f t="shared" si="32"/>
        <v>#N/A</v>
      </c>
      <c r="AI120" s="348" t="e">
        <f t="shared" si="32"/>
        <v>#N/A</v>
      </c>
      <c r="AJ120" s="348" t="e">
        <f t="shared" si="32"/>
        <v>#N/A</v>
      </c>
      <c r="AK120" s="348" t="e">
        <f t="shared" si="32"/>
        <v>#N/A</v>
      </c>
      <c r="AL120" s="348" t="e">
        <f t="shared" si="32"/>
        <v>#N/A</v>
      </c>
      <c r="AM120" s="348" t="e">
        <f t="shared" si="32"/>
        <v>#N/A</v>
      </c>
      <c r="AN120" s="348" t="e">
        <f t="shared" si="32"/>
        <v>#N/A</v>
      </c>
      <c r="AO120" s="348" t="e">
        <f t="shared" si="32"/>
        <v>#N/A</v>
      </c>
      <c r="AP120" s="348" t="e">
        <f t="shared" si="32"/>
        <v>#N/A</v>
      </c>
      <c r="AQ120" s="348" t="e">
        <f t="shared" si="32"/>
        <v>#N/A</v>
      </c>
    </row>
    <row r="121" spans="1:43" x14ac:dyDescent="0.2">
      <c r="E121" s="325" t="s">
        <v>332</v>
      </c>
      <c r="F121" s="348"/>
      <c r="G121" s="348"/>
      <c r="H121" s="349"/>
      <c r="I121" s="348"/>
      <c r="J121" s="348"/>
      <c r="K121" s="348"/>
      <c r="L121" s="348"/>
      <c r="M121" s="348" t="e">
        <f t="shared" ref="M121:AQ121" si="33">-(M116&gt;0)*MIN((M116&lt;10^6)*M116+(M116&gt;=10^6)*(10^6+0.5*(M116-10^6)),-SUM(M118:M119)+M120)</f>
        <v>#N/A</v>
      </c>
      <c r="N121" s="348" t="e">
        <f t="shared" si="33"/>
        <v>#N/A</v>
      </c>
      <c r="O121" s="348" t="e">
        <f t="shared" si="33"/>
        <v>#N/A</v>
      </c>
      <c r="P121" s="348" t="e">
        <f t="shared" si="33"/>
        <v>#N/A</v>
      </c>
      <c r="Q121" s="348" t="e">
        <f t="shared" si="33"/>
        <v>#N/A</v>
      </c>
      <c r="R121" s="348" t="e">
        <f t="shared" si="33"/>
        <v>#N/A</v>
      </c>
      <c r="S121" s="348" t="e">
        <f t="shared" si="33"/>
        <v>#N/A</v>
      </c>
      <c r="T121" s="348" t="e">
        <f t="shared" si="33"/>
        <v>#N/A</v>
      </c>
      <c r="U121" s="348" t="e">
        <f t="shared" si="33"/>
        <v>#N/A</v>
      </c>
      <c r="V121" s="348" t="e">
        <f t="shared" si="33"/>
        <v>#N/A</v>
      </c>
      <c r="W121" s="348" t="e">
        <f t="shared" si="33"/>
        <v>#N/A</v>
      </c>
      <c r="X121" s="348" t="e">
        <f t="shared" si="33"/>
        <v>#N/A</v>
      </c>
      <c r="Y121" s="348" t="e">
        <f t="shared" si="33"/>
        <v>#N/A</v>
      </c>
      <c r="Z121" s="348" t="e">
        <f t="shared" si="33"/>
        <v>#N/A</v>
      </c>
      <c r="AA121" s="348" t="e">
        <f t="shared" si="33"/>
        <v>#N/A</v>
      </c>
      <c r="AB121" s="348" t="e">
        <f t="shared" si="33"/>
        <v>#N/A</v>
      </c>
      <c r="AC121" s="348" t="e">
        <f t="shared" si="33"/>
        <v>#N/A</v>
      </c>
      <c r="AD121" s="348" t="e">
        <f t="shared" si="33"/>
        <v>#N/A</v>
      </c>
      <c r="AE121" s="348" t="e">
        <f t="shared" si="33"/>
        <v>#N/A</v>
      </c>
      <c r="AF121" s="348" t="e">
        <f t="shared" si="33"/>
        <v>#N/A</v>
      </c>
      <c r="AG121" s="348" t="e">
        <f t="shared" si="33"/>
        <v>#N/A</v>
      </c>
      <c r="AH121" s="348" t="e">
        <f t="shared" si="33"/>
        <v>#N/A</v>
      </c>
      <c r="AI121" s="348" t="e">
        <f t="shared" si="33"/>
        <v>#N/A</v>
      </c>
      <c r="AJ121" s="348" t="e">
        <f t="shared" si="33"/>
        <v>#N/A</v>
      </c>
      <c r="AK121" s="348" t="e">
        <f t="shared" si="33"/>
        <v>#N/A</v>
      </c>
      <c r="AL121" s="348" t="e">
        <f t="shared" si="33"/>
        <v>#N/A</v>
      </c>
      <c r="AM121" s="348" t="e">
        <f t="shared" si="33"/>
        <v>#N/A</v>
      </c>
      <c r="AN121" s="348" t="e">
        <f t="shared" si="33"/>
        <v>#N/A</v>
      </c>
      <c r="AO121" s="348" t="e">
        <f t="shared" si="33"/>
        <v>#N/A</v>
      </c>
      <c r="AP121" s="348" t="e">
        <f t="shared" si="33"/>
        <v>#N/A</v>
      </c>
      <c r="AQ121" s="348" t="e">
        <f t="shared" si="33"/>
        <v>#N/A</v>
      </c>
    </row>
    <row r="122" spans="1:43" x14ac:dyDescent="0.2">
      <c r="E122" s="325" t="s">
        <v>331</v>
      </c>
      <c r="F122" s="348"/>
      <c r="G122" s="348"/>
      <c r="H122" s="349"/>
      <c r="I122" s="348"/>
      <c r="J122" s="348"/>
      <c r="K122" s="348"/>
      <c r="L122" s="348"/>
      <c r="M122" s="348" t="e">
        <f t="shared" ref="M122:AQ122" si="34">M118+M119-M120-M121</f>
        <v>#N/A</v>
      </c>
      <c r="N122" s="348" t="e">
        <f t="shared" si="34"/>
        <v>#N/A</v>
      </c>
      <c r="O122" s="348" t="e">
        <f t="shared" si="34"/>
        <v>#N/A</v>
      </c>
      <c r="P122" s="348" t="e">
        <f t="shared" si="34"/>
        <v>#N/A</v>
      </c>
      <c r="Q122" s="348" t="e">
        <f t="shared" si="34"/>
        <v>#N/A</v>
      </c>
      <c r="R122" s="348" t="e">
        <f t="shared" si="34"/>
        <v>#N/A</v>
      </c>
      <c r="S122" s="348" t="e">
        <f t="shared" si="34"/>
        <v>#N/A</v>
      </c>
      <c r="T122" s="348" t="e">
        <f t="shared" si="34"/>
        <v>#N/A</v>
      </c>
      <c r="U122" s="348" t="e">
        <f t="shared" si="34"/>
        <v>#N/A</v>
      </c>
      <c r="V122" s="348" t="e">
        <f t="shared" si="34"/>
        <v>#N/A</v>
      </c>
      <c r="W122" s="348" t="e">
        <f t="shared" si="34"/>
        <v>#N/A</v>
      </c>
      <c r="X122" s="348" t="e">
        <f t="shared" si="34"/>
        <v>#N/A</v>
      </c>
      <c r="Y122" s="348" t="e">
        <f t="shared" si="34"/>
        <v>#N/A</v>
      </c>
      <c r="Z122" s="348" t="e">
        <f t="shared" si="34"/>
        <v>#N/A</v>
      </c>
      <c r="AA122" s="348" t="e">
        <f t="shared" si="34"/>
        <v>#N/A</v>
      </c>
      <c r="AB122" s="348" t="e">
        <f t="shared" si="34"/>
        <v>#N/A</v>
      </c>
      <c r="AC122" s="348" t="e">
        <f t="shared" si="34"/>
        <v>#N/A</v>
      </c>
      <c r="AD122" s="348" t="e">
        <f t="shared" si="34"/>
        <v>#N/A</v>
      </c>
      <c r="AE122" s="348" t="e">
        <f t="shared" si="34"/>
        <v>#N/A</v>
      </c>
      <c r="AF122" s="348" t="e">
        <f t="shared" si="34"/>
        <v>#N/A</v>
      </c>
      <c r="AG122" s="348" t="e">
        <f t="shared" si="34"/>
        <v>#N/A</v>
      </c>
      <c r="AH122" s="348" t="e">
        <f t="shared" si="34"/>
        <v>#N/A</v>
      </c>
      <c r="AI122" s="348" t="e">
        <f t="shared" si="34"/>
        <v>#N/A</v>
      </c>
      <c r="AJ122" s="348" t="e">
        <f t="shared" si="34"/>
        <v>#N/A</v>
      </c>
      <c r="AK122" s="348" t="e">
        <f t="shared" si="34"/>
        <v>#N/A</v>
      </c>
      <c r="AL122" s="348" t="e">
        <f t="shared" si="34"/>
        <v>#N/A</v>
      </c>
      <c r="AM122" s="348" t="e">
        <f t="shared" si="34"/>
        <v>#N/A</v>
      </c>
      <c r="AN122" s="348" t="e">
        <f t="shared" si="34"/>
        <v>#N/A</v>
      </c>
      <c r="AO122" s="348" t="e">
        <f t="shared" si="34"/>
        <v>#N/A</v>
      </c>
      <c r="AP122" s="348" t="e">
        <f t="shared" si="34"/>
        <v>#N/A</v>
      </c>
      <c r="AQ122" s="348" t="e">
        <f t="shared" si="34"/>
        <v>#N/A</v>
      </c>
    </row>
    <row r="123" spans="1:43" x14ac:dyDescent="0.2">
      <c r="E123" s="325"/>
      <c r="F123" s="348"/>
      <c r="G123" s="348"/>
      <c r="H123" s="349"/>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row>
    <row r="124" spans="1:43" x14ac:dyDescent="0.2">
      <c r="E124" s="325" t="s">
        <v>330</v>
      </c>
      <c r="F124" s="348"/>
      <c r="G124" s="348"/>
      <c r="H124" s="349"/>
      <c r="I124" s="348"/>
      <c r="J124" s="348"/>
      <c r="K124" s="348"/>
      <c r="L124" s="348"/>
      <c r="M124" s="348" t="e">
        <f t="shared" ref="M124:AQ124" si="35">M116+M121</f>
        <v>#N/A</v>
      </c>
      <c r="N124" s="348" t="e">
        <f t="shared" si="35"/>
        <v>#N/A</v>
      </c>
      <c r="O124" s="348" t="e">
        <f t="shared" si="35"/>
        <v>#N/A</v>
      </c>
      <c r="P124" s="348" t="e">
        <f t="shared" si="35"/>
        <v>#N/A</v>
      </c>
      <c r="Q124" s="348" t="e">
        <f t="shared" si="35"/>
        <v>#N/A</v>
      </c>
      <c r="R124" s="348" t="e">
        <f t="shared" si="35"/>
        <v>#N/A</v>
      </c>
      <c r="S124" s="348" t="e">
        <f t="shared" si="35"/>
        <v>#N/A</v>
      </c>
      <c r="T124" s="348" t="e">
        <f t="shared" si="35"/>
        <v>#N/A</v>
      </c>
      <c r="U124" s="348" t="e">
        <f t="shared" si="35"/>
        <v>#N/A</v>
      </c>
      <c r="V124" s="348" t="e">
        <f t="shared" si="35"/>
        <v>#N/A</v>
      </c>
      <c r="W124" s="348" t="e">
        <f t="shared" si="35"/>
        <v>#N/A</v>
      </c>
      <c r="X124" s="348" t="e">
        <f t="shared" si="35"/>
        <v>#N/A</v>
      </c>
      <c r="Y124" s="348" t="e">
        <f t="shared" si="35"/>
        <v>#N/A</v>
      </c>
      <c r="Z124" s="348" t="e">
        <f t="shared" si="35"/>
        <v>#N/A</v>
      </c>
      <c r="AA124" s="348" t="e">
        <f t="shared" si="35"/>
        <v>#N/A</v>
      </c>
      <c r="AB124" s="348" t="e">
        <f t="shared" si="35"/>
        <v>#N/A</v>
      </c>
      <c r="AC124" s="348" t="e">
        <f t="shared" si="35"/>
        <v>#N/A</v>
      </c>
      <c r="AD124" s="348" t="e">
        <f t="shared" si="35"/>
        <v>#N/A</v>
      </c>
      <c r="AE124" s="348" t="e">
        <f t="shared" si="35"/>
        <v>#N/A</v>
      </c>
      <c r="AF124" s="348" t="e">
        <f t="shared" si="35"/>
        <v>#N/A</v>
      </c>
      <c r="AG124" s="348" t="e">
        <f t="shared" si="35"/>
        <v>#N/A</v>
      </c>
      <c r="AH124" s="348" t="e">
        <f t="shared" si="35"/>
        <v>#N/A</v>
      </c>
      <c r="AI124" s="348" t="e">
        <f t="shared" si="35"/>
        <v>#N/A</v>
      </c>
      <c r="AJ124" s="348" t="e">
        <f t="shared" si="35"/>
        <v>#N/A</v>
      </c>
      <c r="AK124" s="348" t="e">
        <f t="shared" si="35"/>
        <v>#N/A</v>
      </c>
      <c r="AL124" s="348" t="e">
        <f t="shared" si="35"/>
        <v>#N/A</v>
      </c>
      <c r="AM124" s="348" t="e">
        <f t="shared" si="35"/>
        <v>#N/A</v>
      </c>
      <c r="AN124" s="348" t="e">
        <f t="shared" si="35"/>
        <v>#N/A</v>
      </c>
      <c r="AO124" s="348" t="e">
        <f t="shared" si="35"/>
        <v>#N/A</v>
      </c>
      <c r="AP124" s="348" t="e">
        <f t="shared" si="35"/>
        <v>#N/A</v>
      </c>
      <c r="AQ124" s="348" t="e">
        <f t="shared" si="35"/>
        <v>#N/A</v>
      </c>
    </row>
    <row r="125" spans="1:43" x14ac:dyDescent="0.2">
      <c r="E125" s="325" t="s">
        <v>329</v>
      </c>
      <c r="F125" s="348">
        <f>'ORT uitgangspunten'!$G$26</f>
        <v>200000</v>
      </c>
      <c r="G125" s="348"/>
      <c r="H125" s="349"/>
      <c r="I125" s="348"/>
      <c r="J125" s="348"/>
      <c r="K125" s="348"/>
      <c r="L125" s="348"/>
      <c r="M125" s="325" t="e">
        <f t="shared" ref="M125:AQ125" si="36">(M124&gt;0)*MIN(M124,$F$125)</f>
        <v>#N/A</v>
      </c>
      <c r="N125" s="325" t="e">
        <f t="shared" si="36"/>
        <v>#N/A</v>
      </c>
      <c r="O125" s="325" t="e">
        <f t="shared" si="36"/>
        <v>#N/A</v>
      </c>
      <c r="P125" s="325" t="e">
        <f t="shared" si="36"/>
        <v>#N/A</v>
      </c>
      <c r="Q125" s="325" t="e">
        <f t="shared" si="36"/>
        <v>#N/A</v>
      </c>
      <c r="R125" s="325" t="e">
        <f t="shared" si="36"/>
        <v>#N/A</v>
      </c>
      <c r="S125" s="325" t="e">
        <f t="shared" si="36"/>
        <v>#N/A</v>
      </c>
      <c r="T125" s="325" t="e">
        <f t="shared" si="36"/>
        <v>#N/A</v>
      </c>
      <c r="U125" s="325" t="e">
        <f t="shared" si="36"/>
        <v>#N/A</v>
      </c>
      <c r="V125" s="325" t="e">
        <f t="shared" si="36"/>
        <v>#N/A</v>
      </c>
      <c r="W125" s="325" t="e">
        <f t="shared" si="36"/>
        <v>#N/A</v>
      </c>
      <c r="X125" s="325" t="e">
        <f t="shared" si="36"/>
        <v>#N/A</v>
      </c>
      <c r="Y125" s="325" t="e">
        <f t="shared" si="36"/>
        <v>#N/A</v>
      </c>
      <c r="Z125" s="325" t="e">
        <f t="shared" si="36"/>
        <v>#N/A</v>
      </c>
      <c r="AA125" s="325" t="e">
        <f t="shared" si="36"/>
        <v>#N/A</v>
      </c>
      <c r="AB125" s="325" t="e">
        <f t="shared" si="36"/>
        <v>#N/A</v>
      </c>
      <c r="AC125" s="325" t="e">
        <f t="shared" si="36"/>
        <v>#N/A</v>
      </c>
      <c r="AD125" s="325" t="e">
        <f t="shared" si="36"/>
        <v>#N/A</v>
      </c>
      <c r="AE125" s="325" t="e">
        <f t="shared" si="36"/>
        <v>#N/A</v>
      </c>
      <c r="AF125" s="325" t="e">
        <f t="shared" si="36"/>
        <v>#N/A</v>
      </c>
      <c r="AG125" s="325" t="e">
        <f t="shared" si="36"/>
        <v>#N/A</v>
      </c>
      <c r="AH125" s="325" t="e">
        <f t="shared" si="36"/>
        <v>#N/A</v>
      </c>
      <c r="AI125" s="325" t="e">
        <f t="shared" si="36"/>
        <v>#N/A</v>
      </c>
      <c r="AJ125" s="325" t="e">
        <f t="shared" si="36"/>
        <v>#N/A</v>
      </c>
      <c r="AK125" s="325" t="e">
        <f t="shared" si="36"/>
        <v>#N/A</v>
      </c>
      <c r="AL125" s="325" t="e">
        <f t="shared" si="36"/>
        <v>#N/A</v>
      </c>
      <c r="AM125" s="325" t="e">
        <f t="shared" si="36"/>
        <v>#N/A</v>
      </c>
      <c r="AN125" s="325" t="e">
        <f t="shared" si="36"/>
        <v>#N/A</v>
      </c>
      <c r="AO125" s="325" t="e">
        <f t="shared" si="36"/>
        <v>#N/A</v>
      </c>
      <c r="AP125" s="325" t="e">
        <f t="shared" si="36"/>
        <v>#N/A</v>
      </c>
      <c r="AQ125" s="325" t="e">
        <f t="shared" si="36"/>
        <v>#N/A</v>
      </c>
    </row>
    <row r="126" spans="1:43" x14ac:dyDescent="0.2">
      <c r="E126" s="325" t="s">
        <v>328</v>
      </c>
      <c r="F126" s="348"/>
      <c r="G126" s="348"/>
      <c r="H126" s="349"/>
      <c r="I126" s="348"/>
      <c r="J126" s="348"/>
      <c r="K126" s="348"/>
      <c r="L126" s="348"/>
      <c r="M126" s="325" t="e">
        <f t="shared" ref="M126:AQ126" si="37">MAX(M124-M125,0)</f>
        <v>#N/A</v>
      </c>
      <c r="N126" s="325" t="e">
        <f t="shared" si="37"/>
        <v>#N/A</v>
      </c>
      <c r="O126" s="325" t="e">
        <f t="shared" si="37"/>
        <v>#N/A</v>
      </c>
      <c r="P126" s="325" t="e">
        <f t="shared" si="37"/>
        <v>#N/A</v>
      </c>
      <c r="Q126" s="325" t="e">
        <f t="shared" si="37"/>
        <v>#N/A</v>
      </c>
      <c r="R126" s="325" t="e">
        <f t="shared" si="37"/>
        <v>#N/A</v>
      </c>
      <c r="S126" s="325" t="e">
        <f t="shared" si="37"/>
        <v>#N/A</v>
      </c>
      <c r="T126" s="325" t="e">
        <f t="shared" si="37"/>
        <v>#N/A</v>
      </c>
      <c r="U126" s="325" t="e">
        <f t="shared" si="37"/>
        <v>#N/A</v>
      </c>
      <c r="V126" s="325" t="e">
        <f t="shared" si="37"/>
        <v>#N/A</v>
      </c>
      <c r="W126" s="325" t="e">
        <f t="shared" si="37"/>
        <v>#N/A</v>
      </c>
      <c r="X126" s="325" t="e">
        <f t="shared" si="37"/>
        <v>#N/A</v>
      </c>
      <c r="Y126" s="325" t="e">
        <f t="shared" si="37"/>
        <v>#N/A</v>
      </c>
      <c r="Z126" s="325" t="e">
        <f t="shared" si="37"/>
        <v>#N/A</v>
      </c>
      <c r="AA126" s="325" t="e">
        <f t="shared" si="37"/>
        <v>#N/A</v>
      </c>
      <c r="AB126" s="325" t="e">
        <f t="shared" si="37"/>
        <v>#N/A</v>
      </c>
      <c r="AC126" s="325" t="e">
        <f t="shared" si="37"/>
        <v>#N/A</v>
      </c>
      <c r="AD126" s="325" t="e">
        <f t="shared" si="37"/>
        <v>#N/A</v>
      </c>
      <c r="AE126" s="325" t="e">
        <f t="shared" si="37"/>
        <v>#N/A</v>
      </c>
      <c r="AF126" s="325" t="e">
        <f t="shared" si="37"/>
        <v>#N/A</v>
      </c>
      <c r="AG126" s="325" t="e">
        <f t="shared" si="37"/>
        <v>#N/A</v>
      </c>
      <c r="AH126" s="325" t="e">
        <f t="shared" si="37"/>
        <v>#N/A</v>
      </c>
      <c r="AI126" s="325" t="e">
        <f t="shared" si="37"/>
        <v>#N/A</v>
      </c>
      <c r="AJ126" s="325" t="e">
        <f t="shared" si="37"/>
        <v>#N/A</v>
      </c>
      <c r="AK126" s="325" t="e">
        <f t="shared" si="37"/>
        <v>#N/A</v>
      </c>
      <c r="AL126" s="325" t="e">
        <f t="shared" si="37"/>
        <v>#N/A</v>
      </c>
      <c r="AM126" s="325" t="e">
        <f t="shared" si="37"/>
        <v>#N/A</v>
      </c>
      <c r="AN126" s="325" t="e">
        <f t="shared" si="37"/>
        <v>#N/A</v>
      </c>
      <c r="AO126" s="325" t="e">
        <f t="shared" si="37"/>
        <v>#N/A</v>
      </c>
      <c r="AP126" s="325" t="e">
        <f t="shared" si="37"/>
        <v>#N/A</v>
      </c>
      <c r="AQ126" s="325" t="e">
        <f t="shared" si="37"/>
        <v>#N/A</v>
      </c>
    </row>
    <row r="127" spans="1:43" x14ac:dyDescent="0.2">
      <c r="E127" s="325"/>
      <c r="F127" s="348"/>
      <c r="G127" s="348"/>
      <c r="H127" s="349"/>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row>
    <row r="128" spans="1:43" x14ac:dyDescent="0.2">
      <c r="E128" s="325" t="s">
        <v>327</v>
      </c>
      <c r="F128" s="350">
        <f>'ORT uitgangspunten'!G24</f>
        <v>0.19</v>
      </c>
      <c r="G128" s="348"/>
      <c r="H128" s="349"/>
      <c r="I128" s="348"/>
      <c r="J128" s="348"/>
      <c r="K128" s="348"/>
      <c r="L128" s="348"/>
      <c r="M128" s="325" t="e">
        <f t="shared" ref="M128:AQ128" si="38">M125 * $F128</f>
        <v>#N/A</v>
      </c>
      <c r="N128" s="325" t="e">
        <f t="shared" si="38"/>
        <v>#N/A</v>
      </c>
      <c r="O128" s="325" t="e">
        <f t="shared" si="38"/>
        <v>#N/A</v>
      </c>
      <c r="P128" s="325" t="e">
        <f t="shared" si="38"/>
        <v>#N/A</v>
      </c>
      <c r="Q128" s="325" t="e">
        <f t="shared" si="38"/>
        <v>#N/A</v>
      </c>
      <c r="R128" s="325" t="e">
        <f t="shared" si="38"/>
        <v>#N/A</v>
      </c>
      <c r="S128" s="325" t="e">
        <f t="shared" si="38"/>
        <v>#N/A</v>
      </c>
      <c r="T128" s="325" t="e">
        <f t="shared" si="38"/>
        <v>#N/A</v>
      </c>
      <c r="U128" s="325" t="e">
        <f t="shared" si="38"/>
        <v>#N/A</v>
      </c>
      <c r="V128" s="325" t="e">
        <f t="shared" si="38"/>
        <v>#N/A</v>
      </c>
      <c r="W128" s="325" t="e">
        <f t="shared" si="38"/>
        <v>#N/A</v>
      </c>
      <c r="X128" s="325" t="e">
        <f t="shared" si="38"/>
        <v>#N/A</v>
      </c>
      <c r="Y128" s="325" t="e">
        <f t="shared" si="38"/>
        <v>#N/A</v>
      </c>
      <c r="Z128" s="325" t="e">
        <f t="shared" si="38"/>
        <v>#N/A</v>
      </c>
      <c r="AA128" s="325" t="e">
        <f t="shared" si="38"/>
        <v>#N/A</v>
      </c>
      <c r="AB128" s="325" t="e">
        <f t="shared" si="38"/>
        <v>#N/A</v>
      </c>
      <c r="AC128" s="325" t="e">
        <f t="shared" si="38"/>
        <v>#N/A</v>
      </c>
      <c r="AD128" s="325" t="e">
        <f t="shared" si="38"/>
        <v>#N/A</v>
      </c>
      <c r="AE128" s="325" t="e">
        <f t="shared" si="38"/>
        <v>#N/A</v>
      </c>
      <c r="AF128" s="325" t="e">
        <f t="shared" si="38"/>
        <v>#N/A</v>
      </c>
      <c r="AG128" s="325" t="e">
        <f t="shared" si="38"/>
        <v>#N/A</v>
      </c>
      <c r="AH128" s="325" t="e">
        <f t="shared" si="38"/>
        <v>#N/A</v>
      </c>
      <c r="AI128" s="325" t="e">
        <f t="shared" si="38"/>
        <v>#N/A</v>
      </c>
      <c r="AJ128" s="325" t="e">
        <f t="shared" si="38"/>
        <v>#N/A</v>
      </c>
      <c r="AK128" s="325" t="e">
        <f t="shared" si="38"/>
        <v>#N/A</v>
      </c>
      <c r="AL128" s="325" t="e">
        <f t="shared" si="38"/>
        <v>#N/A</v>
      </c>
      <c r="AM128" s="325" t="e">
        <f t="shared" si="38"/>
        <v>#N/A</v>
      </c>
      <c r="AN128" s="325" t="e">
        <f t="shared" si="38"/>
        <v>#N/A</v>
      </c>
      <c r="AO128" s="325" t="e">
        <f t="shared" si="38"/>
        <v>#N/A</v>
      </c>
      <c r="AP128" s="325" t="e">
        <f t="shared" si="38"/>
        <v>#N/A</v>
      </c>
      <c r="AQ128" s="325" t="e">
        <f t="shared" si="38"/>
        <v>#N/A</v>
      </c>
    </row>
    <row r="129" spans="1:43" x14ac:dyDescent="0.2">
      <c r="E129" s="325" t="s">
        <v>326</v>
      </c>
      <c r="F129" s="350">
        <f>'ORT uitgangspunten'!G25</f>
        <v>0.25800000000000001</v>
      </c>
      <c r="G129" s="348"/>
      <c r="H129" s="349"/>
      <c r="I129" s="348"/>
      <c r="J129" s="348"/>
      <c r="K129" s="348"/>
      <c r="L129" s="348"/>
      <c r="M129" s="325" t="e">
        <f t="shared" ref="M129:AQ129" si="39">M126 * $F129</f>
        <v>#N/A</v>
      </c>
      <c r="N129" s="325" t="e">
        <f t="shared" si="39"/>
        <v>#N/A</v>
      </c>
      <c r="O129" s="325" t="e">
        <f t="shared" si="39"/>
        <v>#N/A</v>
      </c>
      <c r="P129" s="325" t="e">
        <f t="shared" si="39"/>
        <v>#N/A</v>
      </c>
      <c r="Q129" s="325" t="e">
        <f t="shared" si="39"/>
        <v>#N/A</v>
      </c>
      <c r="R129" s="325" t="e">
        <f t="shared" si="39"/>
        <v>#N/A</v>
      </c>
      <c r="S129" s="325" t="e">
        <f t="shared" si="39"/>
        <v>#N/A</v>
      </c>
      <c r="T129" s="325" t="e">
        <f t="shared" si="39"/>
        <v>#N/A</v>
      </c>
      <c r="U129" s="325" t="e">
        <f t="shared" si="39"/>
        <v>#N/A</v>
      </c>
      <c r="V129" s="325" t="e">
        <f t="shared" si="39"/>
        <v>#N/A</v>
      </c>
      <c r="W129" s="325" t="e">
        <f t="shared" si="39"/>
        <v>#N/A</v>
      </c>
      <c r="X129" s="325" t="e">
        <f t="shared" si="39"/>
        <v>#N/A</v>
      </c>
      <c r="Y129" s="325" t="e">
        <f t="shared" si="39"/>
        <v>#N/A</v>
      </c>
      <c r="Z129" s="325" t="e">
        <f t="shared" si="39"/>
        <v>#N/A</v>
      </c>
      <c r="AA129" s="325" t="e">
        <f t="shared" si="39"/>
        <v>#N/A</v>
      </c>
      <c r="AB129" s="325" t="e">
        <f t="shared" si="39"/>
        <v>#N/A</v>
      </c>
      <c r="AC129" s="325" t="e">
        <f t="shared" si="39"/>
        <v>#N/A</v>
      </c>
      <c r="AD129" s="325" t="e">
        <f t="shared" si="39"/>
        <v>#N/A</v>
      </c>
      <c r="AE129" s="325" t="e">
        <f t="shared" si="39"/>
        <v>#N/A</v>
      </c>
      <c r="AF129" s="325" t="e">
        <f t="shared" si="39"/>
        <v>#N/A</v>
      </c>
      <c r="AG129" s="325" t="e">
        <f t="shared" si="39"/>
        <v>#N/A</v>
      </c>
      <c r="AH129" s="325" t="e">
        <f t="shared" si="39"/>
        <v>#N/A</v>
      </c>
      <c r="AI129" s="325" t="e">
        <f t="shared" si="39"/>
        <v>#N/A</v>
      </c>
      <c r="AJ129" s="325" t="e">
        <f t="shared" si="39"/>
        <v>#N/A</v>
      </c>
      <c r="AK129" s="325" t="e">
        <f t="shared" si="39"/>
        <v>#N/A</v>
      </c>
      <c r="AL129" s="325" t="e">
        <f t="shared" si="39"/>
        <v>#N/A</v>
      </c>
      <c r="AM129" s="325" t="e">
        <f t="shared" si="39"/>
        <v>#N/A</v>
      </c>
      <c r="AN129" s="325" t="e">
        <f t="shared" si="39"/>
        <v>#N/A</v>
      </c>
      <c r="AO129" s="325" t="e">
        <f t="shared" si="39"/>
        <v>#N/A</v>
      </c>
      <c r="AP129" s="325" t="e">
        <f t="shared" si="39"/>
        <v>#N/A</v>
      </c>
      <c r="AQ129" s="325" t="e">
        <f t="shared" si="39"/>
        <v>#N/A</v>
      </c>
    </row>
    <row r="130" spans="1:43" x14ac:dyDescent="0.2">
      <c r="E130" s="325" t="s">
        <v>325</v>
      </c>
      <c r="F130" s="348"/>
      <c r="G130" s="348"/>
      <c r="H130" s="349"/>
      <c r="I130" s="348"/>
      <c r="J130" s="348"/>
      <c r="K130" s="348"/>
      <c r="L130" s="348"/>
      <c r="M130" s="325" t="e">
        <f t="shared" ref="M130:AQ130" si="40">-MIN(-$F$129*M120,L129)+$F$128*MIN(M120+L129/$F$129,0)</f>
        <v>#N/A</v>
      </c>
      <c r="N130" s="325" t="e">
        <f t="shared" si="40"/>
        <v>#N/A</v>
      </c>
      <c r="O130" s="325" t="e">
        <f t="shared" si="40"/>
        <v>#N/A</v>
      </c>
      <c r="P130" s="325" t="e">
        <f t="shared" si="40"/>
        <v>#N/A</v>
      </c>
      <c r="Q130" s="325" t="e">
        <f t="shared" si="40"/>
        <v>#N/A</v>
      </c>
      <c r="R130" s="325" t="e">
        <f t="shared" si="40"/>
        <v>#N/A</v>
      </c>
      <c r="S130" s="325" t="e">
        <f t="shared" si="40"/>
        <v>#N/A</v>
      </c>
      <c r="T130" s="325" t="e">
        <f t="shared" si="40"/>
        <v>#N/A</v>
      </c>
      <c r="U130" s="325" t="e">
        <f t="shared" si="40"/>
        <v>#N/A</v>
      </c>
      <c r="V130" s="325" t="e">
        <f t="shared" si="40"/>
        <v>#N/A</v>
      </c>
      <c r="W130" s="325" t="e">
        <f t="shared" si="40"/>
        <v>#N/A</v>
      </c>
      <c r="X130" s="325" t="e">
        <f t="shared" si="40"/>
        <v>#N/A</v>
      </c>
      <c r="Y130" s="325" t="e">
        <f t="shared" si="40"/>
        <v>#N/A</v>
      </c>
      <c r="Z130" s="325" t="e">
        <f t="shared" si="40"/>
        <v>#N/A</v>
      </c>
      <c r="AA130" s="325" t="e">
        <f t="shared" si="40"/>
        <v>#N/A</v>
      </c>
      <c r="AB130" s="325" t="e">
        <f t="shared" si="40"/>
        <v>#N/A</v>
      </c>
      <c r="AC130" s="325" t="e">
        <f t="shared" si="40"/>
        <v>#N/A</v>
      </c>
      <c r="AD130" s="325" t="e">
        <f t="shared" si="40"/>
        <v>#N/A</v>
      </c>
      <c r="AE130" s="325" t="e">
        <f t="shared" si="40"/>
        <v>#N/A</v>
      </c>
      <c r="AF130" s="325" t="e">
        <f t="shared" si="40"/>
        <v>#N/A</v>
      </c>
      <c r="AG130" s="325" t="e">
        <f t="shared" si="40"/>
        <v>#N/A</v>
      </c>
      <c r="AH130" s="325" t="e">
        <f t="shared" si="40"/>
        <v>#N/A</v>
      </c>
      <c r="AI130" s="325" t="e">
        <f t="shared" si="40"/>
        <v>#N/A</v>
      </c>
      <c r="AJ130" s="325" t="e">
        <f t="shared" si="40"/>
        <v>#N/A</v>
      </c>
      <c r="AK130" s="325" t="e">
        <f t="shared" si="40"/>
        <v>#N/A</v>
      </c>
      <c r="AL130" s="325" t="e">
        <f t="shared" si="40"/>
        <v>#N/A</v>
      </c>
      <c r="AM130" s="325" t="e">
        <f t="shared" si="40"/>
        <v>#N/A</v>
      </c>
      <c r="AN130" s="325" t="e">
        <f t="shared" si="40"/>
        <v>#N/A</v>
      </c>
      <c r="AO130" s="325" t="e">
        <f t="shared" si="40"/>
        <v>#N/A</v>
      </c>
      <c r="AP130" s="325" t="e">
        <f t="shared" si="40"/>
        <v>#N/A</v>
      </c>
      <c r="AQ130" s="325" t="e">
        <f t="shared" si="40"/>
        <v>#N/A</v>
      </c>
    </row>
    <row r="131" spans="1:43" x14ac:dyDescent="0.2">
      <c r="E131" s="325"/>
      <c r="F131" s="348"/>
      <c r="G131" s="348"/>
      <c r="H131" s="349"/>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row>
    <row r="132" spans="1:43" s="345" customFormat="1" x14ac:dyDescent="0.2">
      <c r="A132" s="413"/>
      <c r="B132" s="413"/>
      <c r="C132" s="413"/>
      <c r="D132" s="413"/>
      <c r="E132" s="346" t="str">
        <f>'ORT uitgangspunten'!E25</f>
        <v>Vennootschapsbelasting (hoog tarief)</v>
      </c>
      <c r="F132" s="347">
        <f>'ORT uitgangspunten'!G25</f>
        <v>0.25800000000000001</v>
      </c>
      <c r="G132" s="346"/>
      <c r="I132" s="346"/>
      <c r="J132" s="346"/>
      <c r="K132" s="346"/>
      <c r="L132" s="346"/>
      <c r="M132" s="345" t="e">
        <f t="shared" ref="M132:AQ132" si="41">SUM(M128:M130)</f>
        <v>#N/A</v>
      </c>
      <c r="N132" s="345" t="e">
        <f t="shared" si="41"/>
        <v>#N/A</v>
      </c>
      <c r="O132" s="345" t="e">
        <f t="shared" si="41"/>
        <v>#N/A</v>
      </c>
      <c r="P132" s="345" t="e">
        <f t="shared" si="41"/>
        <v>#N/A</v>
      </c>
      <c r="Q132" s="345" t="e">
        <f t="shared" si="41"/>
        <v>#N/A</v>
      </c>
      <c r="R132" s="345" t="e">
        <f t="shared" si="41"/>
        <v>#N/A</v>
      </c>
      <c r="S132" s="345" t="e">
        <f t="shared" si="41"/>
        <v>#N/A</v>
      </c>
      <c r="T132" s="345" t="e">
        <f t="shared" si="41"/>
        <v>#N/A</v>
      </c>
      <c r="U132" s="345" t="e">
        <f t="shared" si="41"/>
        <v>#N/A</v>
      </c>
      <c r="V132" s="345" t="e">
        <f t="shared" si="41"/>
        <v>#N/A</v>
      </c>
      <c r="W132" s="345" t="e">
        <f t="shared" si="41"/>
        <v>#N/A</v>
      </c>
      <c r="X132" s="345" t="e">
        <f t="shared" si="41"/>
        <v>#N/A</v>
      </c>
      <c r="Y132" s="345" t="e">
        <f t="shared" si="41"/>
        <v>#N/A</v>
      </c>
      <c r="Z132" s="345" t="e">
        <f t="shared" si="41"/>
        <v>#N/A</v>
      </c>
      <c r="AA132" s="345" t="e">
        <f t="shared" si="41"/>
        <v>#N/A</v>
      </c>
      <c r="AB132" s="345" t="e">
        <f t="shared" si="41"/>
        <v>#N/A</v>
      </c>
      <c r="AC132" s="345" t="e">
        <f t="shared" si="41"/>
        <v>#N/A</v>
      </c>
      <c r="AD132" s="345" t="e">
        <f t="shared" si="41"/>
        <v>#N/A</v>
      </c>
      <c r="AE132" s="345" t="e">
        <f t="shared" si="41"/>
        <v>#N/A</v>
      </c>
      <c r="AF132" s="345" t="e">
        <f t="shared" si="41"/>
        <v>#N/A</v>
      </c>
      <c r="AG132" s="345" t="e">
        <f t="shared" si="41"/>
        <v>#N/A</v>
      </c>
      <c r="AH132" s="345" t="e">
        <f t="shared" si="41"/>
        <v>#N/A</v>
      </c>
      <c r="AI132" s="345" t="e">
        <f t="shared" si="41"/>
        <v>#N/A</v>
      </c>
      <c r="AJ132" s="345" t="e">
        <f t="shared" si="41"/>
        <v>#N/A</v>
      </c>
      <c r="AK132" s="345" t="e">
        <f t="shared" si="41"/>
        <v>#N/A</v>
      </c>
      <c r="AL132" s="345" t="e">
        <f t="shared" si="41"/>
        <v>#N/A</v>
      </c>
      <c r="AM132" s="345" t="e">
        <f t="shared" si="41"/>
        <v>#N/A</v>
      </c>
      <c r="AN132" s="345" t="e">
        <f t="shared" si="41"/>
        <v>#N/A</v>
      </c>
      <c r="AO132" s="345" t="e">
        <f t="shared" si="41"/>
        <v>#N/A</v>
      </c>
      <c r="AP132" s="345" t="e">
        <f t="shared" si="41"/>
        <v>#N/A</v>
      </c>
      <c r="AQ132" s="345" t="e">
        <f t="shared" si="41"/>
        <v>#N/A</v>
      </c>
    </row>
    <row r="133" spans="1:43" x14ac:dyDescent="0.2"/>
    <row r="134" spans="1:43" x14ac:dyDescent="0.2">
      <c r="A134" s="342"/>
      <c r="B134" s="470" t="s">
        <v>324</v>
      </c>
      <c r="C134" s="471"/>
      <c r="D134" s="471"/>
      <c r="E134" s="471"/>
      <c r="F134" s="471"/>
      <c r="G134" s="471"/>
      <c r="H134" s="471"/>
      <c r="I134" s="471"/>
      <c r="J134" s="471"/>
      <c r="K134" s="471"/>
      <c r="L134" s="471"/>
    </row>
    <row r="135" spans="1:43" x14ac:dyDescent="0.2"/>
    <row r="136" spans="1:43" x14ac:dyDescent="0.2">
      <c r="E136" s="411" t="str">
        <f>E115</f>
        <v>EBITDA</v>
      </c>
      <c r="F136" s="411">
        <f>F115</f>
        <v>0</v>
      </c>
      <c r="M136" s="411" t="e">
        <f t="shared" ref="M136:AQ136" si="42">M115</f>
        <v>#N/A</v>
      </c>
      <c r="N136" s="411" t="e">
        <f t="shared" si="42"/>
        <v>#N/A</v>
      </c>
      <c r="O136" s="411" t="e">
        <f t="shared" si="42"/>
        <v>#N/A</v>
      </c>
      <c r="P136" s="411" t="e">
        <f t="shared" si="42"/>
        <v>#N/A</v>
      </c>
      <c r="Q136" s="411" t="e">
        <f t="shared" si="42"/>
        <v>#N/A</v>
      </c>
      <c r="R136" s="411" t="e">
        <f t="shared" si="42"/>
        <v>#N/A</v>
      </c>
      <c r="S136" s="411" t="e">
        <f t="shared" si="42"/>
        <v>#N/A</v>
      </c>
      <c r="T136" s="411" t="e">
        <f t="shared" si="42"/>
        <v>#N/A</v>
      </c>
      <c r="U136" s="411" t="e">
        <f t="shared" si="42"/>
        <v>#N/A</v>
      </c>
      <c r="V136" s="411" t="e">
        <f t="shared" si="42"/>
        <v>#N/A</v>
      </c>
      <c r="W136" s="411" t="e">
        <f t="shared" si="42"/>
        <v>#N/A</v>
      </c>
      <c r="X136" s="411" t="e">
        <f t="shared" si="42"/>
        <v>#N/A</v>
      </c>
      <c r="Y136" s="411" t="e">
        <f t="shared" si="42"/>
        <v>#N/A</v>
      </c>
      <c r="Z136" s="411" t="e">
        <f t="shared" si="42"/>
        <v>#N/A</v>
      </c>
      <c r="AA136" s="411" t="e">
        <f t="shared" si="42"/>
        <v>#N/A</v>
      </c>
      <c r="AB136" s="411" t="e">
        <f t="shared" si="42"/>
        <v>#N/A</v>
      </c>
      <c r="AC136" s="411" t="e">
        <f t="shared" si="42"/>
        <v>#N/A</v>
      </c>
      <c r="AD136" s="411" t="e">
        <f t="shared" si="42"/>
        <v>#N/A</v>
      </c>
      <c r="AE136" s="411" t="e">
        <f t="shared" si="42"/>
        <v>#N/A</v>
      </c>
      <c r="AF136" s="411" t="e">
        <f t="shared" si="42"/>
        <v>#N/A</v>
      </c>
      <c r="AG136" s="411" t="e">
        <f t="shared" si="42"/>
        <v>#N/A</v>
      </c>
      <c r="AH136" s="411" t="e">
        <f t="shared" si="42"/>
        <v>#N/A</v>
      </c>
      <c r="AI136" s="411" t="e">
        <f t="shared" si="42"/>
        <v>#N/A</v>
      </c>
      <c r="AJ136" s="411" t="e">
        <f t="shared" si="42"/>
        <v>#N/A</v>
      </c>
      <c r="AK136" s="411" t="e">
        <f t="shared" si="42"/>
        <v>#N/A</v>
      </c>
      <c r="AL136" s="411" t="e">
        <f t="shared" si="42"/>
        <v>#N/A</v>
      </c>
      <c r="AM136" s="411" t="e">
        <f t="shared" si="42"/>
        <v>#N/A</v>
      </c>
      <c r="AN136" s="411" t="e">
        <f t="shared" si="42"/>
        <v>#N/A</v>
      </c>
      <c r="AO136" s="411" t="e">
        <f t="shared" si="42"/>
        <v>#N/A</v>
      </c>
      <c r="AP136" s="411" t="e">
        <f t="shared" si="42"/>
        <v>#N/A</v>
      </c>
      <c r="AQ136" s="411" t="e">
        <f t="shared" si="42"/>
        <v>#N/A</v>
      </c>
    </row>
    <row r="137" spans="1:43" x14ac:dyDescent="0.2">
      <c r="E137" s="411" t="str">
        <f>E132</f>
        <v>Vennootschapsbelasting (hoog tarief)</v>
      </c>
      <c r="F137" s="418">
        <f>F132</f>
        <v>0.25800000000000001</v>
      </c>
      <c r="M137" s="411" t="e">
        <f t="shared" ref="M137:AQ137" si="43">-M132</f>
        <v>#N/A</v>
      </c>
      <c r="N137" s="411" t="e">
        <f t="shared" si="43"/>
        <v>#N/A</v>
      </c>
      <c r="O137" s="411" t="e">
        <f t="shared" si="43"/>
        <v>#N/A</v>
      </c>
      <c r="P137" s="411" t="e">
        <f t="shared" si="43"/>
        <v>#N/A</v>
      </c>
      <c r="Q137" s="411" t="e">
        <f t="shared" si="43"/>
        <v>#N/A</v>
      </c>
      <c r="R137" s="411" t="e">
        <f t="shared" si="43"/>
        <v>#N/A</v>
      </c>
      <c r="S137" s="411" t="e">
        <f t="shared" si="43"/>
        <v>#N/A</v>
      </c>
      <c r="T137" s="411" t="e">
        <f t="shared" si="43"/>
        <v>#N/A</v>
      </c>
      <c r="U137" s="411" t="e">
        <f t="shared" si="43"/>
        <v>#N/A</v>
      </c>
      <c r="V137" s="411" t="e">
        <f t="shared" si="43"/>
        <v>#N/A</v>
      </c>
      <c r="W137" s="411" t="e">
        <f t="shared" si="43"/>
        <v>#N/A</v>
      </c>
      <c r="X137" s="411" t="e">
        <f t="shared" si="43"/>
        <v>#N/A</v>
      </c>
      <c r="Y137" s="411" t="e">
        <f t="shared" si="43"/>
        <v>#N/A</v>
      </c>
      <c r="Z137" s="411" t="e">
        <f t="shared" si="43"/>
        <v>#N/A</v>
      </c>
      <c r="AA137" s="411" t="e">
        <f t="shared" si="43"/>
        <v>#N/A</v>
      </c>
      <c r="AB137" s="411" t="e">
        <f t="shared" si="43"/>
        <v>#N/A</v>
      </c>
      <c r="AC137" s="411" t="e">
        <f t="shared" si="43"/>
        <v>#N/A</v>
      </c>
      <c r="AD137" s="411" t="e">
        <f t="shared" si="43"/>
        <v>#N/A</v>
      </c>
      <c r="AE137" s="411" t="e">
        <f t="shared" si="43"/>
        <v>#N/A</v>
      </c>
      <c r="AF137" s="411" t="e">
        <f t="shared" si="43"/>
        <v>#N/A</v>
      </c>
      <c r="AG137" s="411" t="e">
        <f t="shared" si="43"/>
        <v>#N/A</v>
      </c>
      <c r="AH137" s="411" t="e">
        <f t="shared" si="43"/>
        <v>#N/A</v>
      </c>
      <c r="AI137" s="411" t="e">
        <f t="shared" si="43"/>
        <v>#N/A</v>
      </c>
      <c r="AJ137" s="411" t="e">
        <f t="shared" si="43"/>
        <v>#N/A</v>
      </c>
      <c r="AK137" s="411" t="e">
        <f t="shared" si="43"/>
        <v>#N/A</v>
      </c>
      <c r="AL137" s="411" t="e">
        <f t="shared" si="43"/>
        <v>#N/A</v>
      </c>
      <c r="AM137" s="411" t="e">
        <f t="shared" si="43"/>
        <v>#N/A</v>
      </c>
      <c r="AN137" s="411" t="e">
        <f t="shared" si="43"/>
        <v>#N/A</v>
      </c>
      <c r="AO137" s="411" t="e">
        <f t="shared" si="43"/>
        <v>#N/A</v>
      </c>
      <c r="AP137" s="411" t="e">
        <f t="shared" si="43"/>
        <v>#N/A</v>
      </c>
      <c r="AQ137" s="411" t="e">
        <f t="shared" si="43"/>
        <v>#N/A</v>
      </c>
    </row>
    <row r="138" spans="1:43" x14ac:dyDescent="0.2">
      <c r="E138" s="411" t="str">
        <f>E44</f>
        <v>Totaal CAPEX</v>
      </c>
      <c r="F138" s="411">
        <f>F44</f>
        <v>0</v>
      </c>
      <c r="M138" s="411">
        <f t="shared" ref="M138:AQ138" si="44">-M44</f>
        <v>0</v>
      </c>
      <c r="N138" s="411">
        <f t="shared" si="44"/>
        <v>0</v>
      </c>
      <c r="O138" s="411">
        <f t="shared" si="44"/>
        <v>0</v>
      </c>
      <c r="P138" s="411">
        <f t="shared" si="44"/>
        <v>0</v>
      </c>
      <c r="Q138" s="411">
        <f t="shared" si="44"/>
        <v>0</v>
      </c>
      <c r="R138" s="411">
        <f t="shared" si="44"/>
        <v>0</v>
      </c>
      <c r="S138" s="411">
        <f t="shared" si="44"/>
        <v>0</v>
      </c>
      <c r="T138" s="411">
        <f t="shared" si="44"/>
        <v>0</v>
      </c>
      <c r="U138" s="411">
        <f t="shared" si="44"/>
        <v>0</v>
      </c>
      <c r="V138" s="411">
        <f t="shared" si="44"/>
        <v>0</v>
      </c>
      <c r="W138" s="411">
        <f t="shared" si="44"/>
        <v>0</v>
      </c>
      <c r="X138" s="411">
        <f t="shared" si="44"/>
        <v>0</v>
      </c>
      <c r="Y138" s="411">
        <f t="shared" si="44"/>
        <v>0</v>
      </c>
      <c r="Z138" s="411">
        <f t="shared" si="44"/>
        <v>0</v>
      </c>
      <c r="AA138" s="411">
        <f t="shared" si="44"/>
        <v>0</v>
      </c>
      <c r="AB138" s="411">
        <f t="shared" si="44"/>
        <v>0</v>
      </c>
      <c r="AC138" s="411">
        <f t="shared" si="44"/>
        <v>0</v>
      </c>
      <c r="AD138" s="411">
        <f t="shared" si="44"/>
        <v>0</v>
      </c>
      <c r="AE138" s="411">
        <f t="shared" si="44"/>
        <v>0</v>
      </c>
      <c r="AF138" s="411">
        <f t="shared" si="44"/>
        <v>0</v>
      </c>
      <c r="AG138" s="411">
        <f t="shared" si="44"/>
        <v>0</v>
      </c>
      <c r="AH138" s="411">
        <f t="shared" si="44"/>
        <v>0</v>
      </c>
      <c r="AI138" s="411">
        <f t="shared" si="44"/>
        <v>0</v>
      </c>
      <c r="AJ138" s="411">
        <f t="shared" si="44"/>
        <v>0</v>
      </c>
      <c r="AK138" s="411">
        <f t="shared" si="44"/>
        <v>0</v>
      </c>
      <c r="AL138" s="411">
        <f t="shared" si="44"/>
        <v>0</v>
      </c>
      <c r="AM138" s="411">
        <f t="shared" si="44"/>
        <v>0</v>
      </c>
      <c r="AN138" s="411">
        <f t="shared" si="44"/>
        <v>0</v>
      </c>
      <c r="AO138" s="411">
        <f t="shared" si="44"/>
        <v>0</v>
      </c>
      <c r="AP138" s="411">
        <f t="shared" si="44"/>
        <v>0</v>
      </c>
      <c r="AQ138" s="411">
        <f t="shared" si="44"/>
        <v>0</v>
      </c>
    </row>
    <row r="139" spans="1:43" x14ac:dyDescent="0.2">
      <c r="E139" s="411" t="str">
        <f>E85</f>
        <v>Totaal aansluitbijdragen</v>
      </c>
      <c r="F139" s="411">
        <f>F85</f>
        <v>0</v>
      </c>
      <c r="M139" s="411">
        <f t="shared" ref="M139:AQ139" si="45">M85</f>
        <v>0</v>
      </c>
      <c r="N139" s="411">
        <f t="shared" si="45"/>
        <v>0</v>
      </c>
      <c r="O139" s="411">
        <f t="shared" si="45"/>
        <v>0</v>
      </c>
      <c r="P139" s="411">
        <f t="shared" si="45"/>
        <v>0</v>
      </c>
      <c r="Q139" s="411">
        <f t="shared" si="45"/>
        <v>0</v>
      </c>
      <c r="R139" s="411">
        <f t="shared" si="45"/>
        <v>0</v>
      </c>
      <c r="S139" s="411">
        <f t="shared" si="45"/>
        <v>0</v>
      </c>
      <c r="T139" s="411">
        <f t="shared" si="45"/>
        <v>0</v>
      </c>
      <c r="U139" s="411">
        <f t="shared" si="45"/>
        <v>0</v>
      </c>
      <c r="V139" s="411">
        <f t="shared" si="45"/>
        <v>0</v>
      </c>
      <c r="W139" s="411">
        <f t="shared" si="45"/>
        <v>0</v>
      </c>
      <c r="X139" s="411">
        <f t="shared" si="45"/>
        <v>0</v>
      </c>
      <c r="Y139" s="411">
        <f t="shared" si="45"/>
        <v>0</v>
      </c>
      <c r="Z139" s="411">
        <f t="shared" si="45"/>
        <v>0</v>
      </c>
      <c r="AA139" s="411">
        <f t="shared" si="45"/>
        <v>0</v>
      </c>
      <c r="AB139" s="411">
        <f t="shared" si="45"/>
        <v>0</v>
      </c>
      <c r="AC139" s="411">
        <f t="shared" si="45"/>
        <v>0</v>
      </c>
      <c r="AD139" s="411">
        <f t="shared" si="45"/>
        <v>0</v>
      </c>
      <c r="AE139" s="411">
        <f t="shared" si="45"/>
        <v>0</v>
      </c>
      <c r="AF139" s="411">
        <f t="shared" si="45"/>
        <v>0</v>
      </c>
      <c r="AG139" s="411">
        <f t="shared" si="45"/>
        <v>0</v>
      </c>
      <c r="AH139" s="411">
        <f t="shared" si="45"/>
        <v>0</v>
      </c>
      <c r="AI139" s="411">
        <f t="shared" si="45"/>
        <v>0</v>
      </c>
      <c r="AJ139" s="411">
        <f t="shared" si="45"/>
        <v>0</v>
      </c>
      <c r="AK139" s="411">
        <f t="shared" si="45"/>
        <v>0</v>
      </c>
      <c r="AL139" s="411">
        <f t="shared" si="45"/>
        <v>0</v>
      </c>
      <c r="AM139" s="411">
        <f t="shared" si="45"/>
        <v>0</v>
      </c>
      <c r="AN139" s="411">
        <f t="shared" si="45"/>
        <v>0</v>
      </c>
      <c r="AO139" s="411">
        <f t="shared" si="45"/>
        <v>0</v>
      </c>
      <c r="AP139" s="411">
        <f t="shared" si="45"/>
        <v>0</v>
      </c>
      <c r="AQ139" s="411">
        <f t="shared" si="45"/>
        <v>0</v>
      </c>
    </row>
    <row r="140" spans="1:43" x14ac:dyDescent="0.2">
      <c r="E140" s="344" t="s">
        <v>323</v>
      </c>
      <c r="F140" s="343"/>
      <c r="G140" s="343"/>
      <c r="H140" s="343"/>
      <c r="I140" s="343"/>
      <c r="J140" s="343"/>
      <c r="K140" s="343"/>
      <c r="L140" s="343"/>
      <c r="M140" s="343" t="e">
        <f t="shared" ref="M140:AQ140" si="46">SUM(M136:M139)</f>
        <v>#N/A</v>
      </c>
      <c r="N140" s="343" t="e">
        <f t="shared" si="46"/>
        <v>#N/A</v>
      </c>
      <c r="O140" s="343" t="e">
        <f t="shared" si="46"/>
        <v>#N/A</v>
      </c>
      <c r="P140" s="343" t="e">
        <f t="shared" si="46"/>
        <v>#N/A</v>
      </c>
      <c r="Q140" s="343" t="e">
        <f t="shared" si="46"/>
        <v>#N/A</v>
      </c>
      <c r="R140" s="343" t="e">
        <f t="shared" si="46"/>
        <v>#N/A</v>
      </c>
      <c r="S140" s="343" t="e">
        <f t="shared" si="46"/>
        <v>#N/A</v>
      </c>
      <c r="T140" s="343" t="e">
        <f t="shared" si="46"/>
        <v>#N/A</v>
      </c>
      <c r="U140" s="343" t="e">
        <f t="shared" si="46"/>
        <v>#N/A</v>
      </c>
      <c r="V140" s="343" t="e">
        <f t="shared" si="46"/>
        <v>#N/A</v>
      </c>
      <c r="W140" s="343" t="e">
        <f t="shared" si="46"/>
        <v>#N/A</v>
      </c>
      <c r="X140" s="343" t="e">
        <f t="shared" si="46"/>
        <v>#N/A</v>
      </c>
      <c r="Y140" s="343" t="e">
        <f t="shared" si="46"/>
        <v>#N/A</v>
      </c>
      <c r="Z140" s="343" t="e">
        <f t="shared" si="46"/>
        <v>#N/A</v>
      </c>
      <c r="AA140" s="343" t="e">
        <f t="shared" si="46"/>
        <v>#N/A</v>
      </c>
      <c r="AB140" s="343" t="e">
        <f t="shared" si="46"/>
        <v>#N/A</v>
      </c>
      <c r="AC140" s="343" t="e">
        <f t="shared" si="46"/>
        <v>#N/A</v>
      </c>
      <c r="AD140" s="343" t="e">
        <f t="shared" si="46"/>
        <v>#N/A</v>
      </c>
      <c r="AE140" s="343" t="e">
        <f t="shared" si="46"/>
        <v>#N/A</v>
      </c>
      <c r="AF140" s="343" t="e">
        <f t="shared" si="46"/>
        <v>#N/A</v>
      </c>
      <c r="AG140" s="343" t="e">
        <f t="shared" si="46"/>
        <v>#N/A</v>
      </c>
      <c r="AH140" s="343" t="e">
        <f t="shared" si="46"/>
        <v>#N/A</v>
      </c>
      <c r="AI140" s="343" t="e">
        <f t="shared" si="46"/>
        <v>#N/A</v>
      </c>
      <c r="AJ140" s="343" t="e">
        <f t="shared" si="46"/>
        <v>#N/A</v>
      </c>
      <c r="AK140" s="343" t="e">
        <f t="shared" si="46"/>
        <v>#N/A</v>
      </c>
      <c r="AL140" s="343" t="e">
        <f t="shared" si="46"/>
        <v>#N/A</v>
      </c>
      <c r="AM140" s="343" t="e">
        <f t="shared" si="46"/>
        <v>#N/A</v>
      </c>
      <c r="AN140" s="343" t="e">
        <f t="shared" si="46"/>
        <v>#N/A</v>
      </c>
      <c r="AO140" s="343" t="e">
        <f t="shared" si="46"/>
        <v>#N/A</v>
      </c>
      <c r="AP140" s="343" t="e">
        <f t="shared" si="46"/>
        <v>#N/A</v>
      </c>
      <c r="AQ140" s="343" t="e">
        <f t="shared" si="46"/>
        <v>#N/A</v>
      </c>
    </row>
    <row r="141" spans="1:43" x14ac:dyDescent="0.2">
      <c r="E141" s="344" t="s">
        <v>322</v>
      </c>
      <c r="F141" s="343"/>
      <c r="G141" s="343"/>
      <c r="H141" s="343"/>
      <c r="I141" s="343"/>
      <c r="J141" s="343"/>
      <c r="K141" s="343"/>
      <c r="L141" s="343"/>
      <c r="M141" s="343" t="e">
        <f t="shared" ref="M141:AQ141" si="47">M140+L141</f>
        <v>#N/A</v>
      </c>
      <c r="N141" s="343" t="e">
        <f t="shared" si="47"/>
        <v>#N/A</v>
      </c>
      <c r="O141" s="343" t="e">
        <f t="shared" si="47"/>
        <v>#N/A</v>
      </c>
      <c r="P141" s="343" t="e">
        <f t="shared" si="47"/>
        <v>#N/A</v>
      </c>
      <c r="Q141" s="343" t="e">
        <f t="shared" si="47"/>
        <v>#N/A</v>
      </c>
      <c r="R141" s="343" t="e">
        <f t="shared" si="47"/>
        <v>#N/A</v>
      </c>
      <c r="S141" s="343" t="e">
        <f t="shared" si="47"/>
        <v>#N/A</v>
      </c>
      <c r="T141" s="343" t="e">
        <f t="shared" si="47"/>
        <v>#N/A</v>
      </c>
      <c r="U141" s="343" t="e">
        <f t="shared" si="47"/>
        <v>#N/A</v>
      </c>
      <c r="V141" s="343" t="e">
        <f t="shared" si="47"/>
        <v>#N/A</v>
      </c>
      <c r="W141" s="343" t="e">
        <f t="shared" si="47"/>
        <v>#N/A</v>
      </c>
      <c r="X141" s="343" t="e">
        <f t="shared" si="47"/>
        <v>#N/A</v>
      </c>
      <c r="Y141" s="343" t="e">
        <f t="shared" si="47"/>
        <v>#N/A</v>
      </c>
      <c r="Z141" s="343" t="e">
        <f t="shared" si="47"/>
        <v>#N/A</v>
      </c>
      <c r="AA141" s="343" t="e">
        <f t="shared" si="47"/>
        <v>#N/A</v>
      </c>
      <c r="AB141" s="343" t="e">
        <f t="shared" si="47"/>
        <v>#N/A</v>
      </c>
      <c r="AC141" s="343" t="e">
        <f t="shared" si="47"/>
        <v>#N/A</v>
      </c>
      <c r="AD141" s="343" t="e">
        <f t="shared" si="47"/>
        <v>#N/A</v>
      </c>
      <c r="AE141" s="343" t="e">
        <f t="shared" si="47"/>
        <v>#N/A</v>
      </c>
      <c r="AF141" s="343" t="e">
        <f t="shared" si="47"/>
        <v>#N/A</v>
      </c>
      <c r="AG141" s="343" t="e">
        <f t="shared" si="47"/>
        <v>#N/A</v>
      </c>
      <c r="AH141" s="343" t="e">
        <f t="shared" si="47"/>
        <v>#N/A</v>
      </c>
      <c r="AI141" s="343" t="e">
        <f t="shared" si="47"/>
        <v>#N/A</v>
      </c>
      <c r="AJ141" s="343" t="e">
        <f t="shared" si="47"/>
        <v>#N/A</v>
      </c>
      <c r="AK141" s="343" t="e">
        <f t="shared" si="47"/>
        <v>#N/A</v>
      </c>
      <c r="AL141" s="343" t="e">
        <f t="shared" si="47"/>
        <v>#N/A</v>
      </c>
      <c r="AM141" s="343" t="e">
        <f t="shared" si="47"/>
        <v>#N/A</v>
      </c>
      <c r="AN141" s="343" t="e">
        <f t="shared" si="47"/>
        <v>#N/A</v>
      </c>
      <c r="AO141" s="343" t="e">
        <f t="shared" si="47"/>
        <v>#N/A</v>
      </c>
      <c r="AP141" s="343" t="e">
        <f t="shared" si="47"/>
        <v>#N/A</v>
      </c>
      <c r="AQ141" s="343" t="e">
        <f t="shared" si="47"/>
        <v>#N/A</v>
      </c>
    </row>
    <row r="142" spans="1:43" x14ac:dyDescent="0.2">
      <c r="E142" s="343"/>
      <c r="F142" s="343"/>
      <c r="G142" s="343"/>
    </row>
    <row r="143" spans="1:43" x14ac:dyDescent="0.2">
      <c r="A143" s="342"/>
      <c r="B143" s="470" t="s">
        <v>321</v>
      </c>
      <c r="C143" s="471"/>
      <c r="D143" s="471"/>
      <c r="E143" s="471"/>
      <c r="F143" s="471"/>
      <c r="G143" s="471"/>
      <c r="H143" s="471"/>
      <c r="I143" s="471"/>
      <c r="J143" s="471"/>
      <c r="K143" s="471"/>
      <c r="L143" s="471"/>
    </row>
    <row r="144" spans="1:43" s="415" customFormat="1" x14ac:dyDescent="0.2">
      <c r="A144" s="414"/>
      <c r="E144" s="334"/>
      <c r="F144" s="334"/>
      <c r="G144" s="334"/>
      <c r="H144" s="335"/>
      <c r="I144" s="335"/>
      <c r="J144" s="335"/>
      <c r="K144" s="335"/>
      <c r="L144" s="335"/>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c r="AK144" s="334"/>
      <c r="AL144" s="334"/>
      <c r="AM144" s="334"/>
      <c r="AN144" s="334"/>
      <c r="AO144" s="334"/>
      <c r="AP144" s="334"/>
      <c r="AQ144" s="334"/>
    </row>
    <row r="145" spans="1:43" s="336" customFormat="1" x14ac:dyDescent="0.2">
      <c r="A145" s="340"/>
      <c r="E145" s="337" t="str">
        <f>'ORT uitgangspunten'!E33</f>
        <v>Discontovoet</v>
      </c>
      <c r="F145" s="341">
        <f>'ORT uitgangspunten'!G33</f>
        <v>4.2299999999999997E-2</v>
      </c>
      <c r="G145" s="337"/>
      <c r="I145" s="338"/>
      <c r="J145" s="338"/>
      <c r="K145" s="338"/>
      <c r="L145" s="338"/>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337"/>
    </row>
    <row r="146" spans="1:43" s="336" customFormat="1" x14ac:dyDescent="0.2">
      <c r="A146" s="340"/>
      <c r="E146" s="337" t="str">
        <f>E140</f>
        <v>Kasstroom</v>
      </c>
      <c r="F146" s="337">
        <f>F140</f>
        <v>0</v>
      </c>
      <c r="G146" s="337">
        <f>G140</f>
        <v>0</v>
      </c>
      <c r="H146" s="337"/>
      <c r="I146" s="337"/>
      <c r="J146" s="337"/>
      <c r="K146" s="337"/>
      <c r="L146" s="337"/>
      <c r="M146" s="337" t="e">
        <f t="shared" ref="M146:AQ146" si="48">M140</f>
        <v>#N/A</v>
      </c>
      <c r="N146" s="337" t="e">
        <f t="shared" si="48"/>
        <v>#N/A</v>
      </c>
      <c r="O146" s="337" t="e">
        <f t="shared" si="48"/>
        <v>#N/A</v>
      </c>
      <c r="P146" s="337" t="e">
        <f t="shared" si="48"/>
        <v>#N/A</v>
      </c>
      <c r="Q146" s="337" t="e">
        <f t="shared" si="48"/>
        <v>#N/A</v>
      </c>
      <c r="R146" s="337" t="e">
        <f t="shared" si="48"/>
        <v>#N/A</v>
      </c>
      <c r="S146" s="337" t="e">
        <f t="shared" si="48"/>
        <v>#N/A</v>
      </c>
      <c r="T146" s="337" t="e">
        <f t="shared" si="48"/>
        <v>#N/A</v>
      </c>
      <c r="U146" s="337" t="e">
        <f t="shared" si="48"/>
        <v>#N/A</v>
      </c>
      <c r="V146" s="337" t="e">
        <f t="shared" si="48"/>
        <v>#N/A</v>
      </c>
      <c r="W146" s="337" t="e">
        <f t="shared" si="48"/>
        <v>#N/A</v>
      </c>
      <c r="X146" s="337" t="e">
        <f t="shared" si="48"/>
        <v>#N/A</v>
      </c>
      <c r="Y146" s="337" t="e">
        <f t="shared" si="48"/>
        <v>#N/A</v>
      </c>
      <c r="Z146" s="337" t="e">
        <f t="shared" si="48"/>
        <v>#N/A</v>
      </c>
      <c r="AA146" s="337" t="e">
        <f t="shared" si="48"/>
        <v>#N/A</v>
      </c>
      <c r="AB146" s="337" t="e">
        <f t="shared" si="48"/>
        <v>#N/A</v>
      </c>
      <c r="AC146" s="337" t="e">
        <f t="shared" si="48"/>
        <v>#N/A</v>
      </c>
      <c r="AD146" s="337" t="e">
        <f t="shared" si="48"/>
        <v>#N/A</v>
      </c>
      <c r="AE146" s="337" t="e">
        <f t="shared" si="48"/>
        <v>#N/A</v>
      </c>
      <c r="AF146" s="337" t="e">
        <f t="shared" si="48"/>
        <v>#N/A</v>
      </c>
      <c r="AG146" s="337" t="e">
        <f t="shared" si="48"/>
        <v>#N/A</v>
      </c>
      <c r="AH146" s="337" t="e">
        <f t="shared" si="48"/>
        <v>#N/A</v>
      </c>
      <c r="AI146" s="337" t="e">
        <f t="shared" si="48"/>
        <v>#N/A</v>
      </c>
      <c r="AJ146" s="337" t="e">
        <f t="shared" si="48"/>
        <v>#N/A</v>
      </c>
      <c r="AK146" s="337" t="e">
        <f t="shared" si="48"/>
        <v>#N/A</v>
      </c>
      <c r="AL146" s="337" t="e">
        <f t="shared" si="48"/>
        <v>#N/A</v>
      </c>
      <c r="AM146" s="337" t="e">
        <f t="shared" si="48"/>
        <v>#N/A</v>
      </c>
      <c r="AN146" s="337" t="e">
        <f t="shared" si="48"/>
        <v>#N/A</v>
      </c>
      <c r="AO146" s="337" t="e">
        <f t="shared" si="48"/>
        <v>#N/A</v>
      </c>
      <c r="AP146" s="337" t="e">
        <f t="shared" si="48"/>
        <v>#N/A</v>
      </c>
      <c r="AQ146" s="337" t="e">
        <f t="shared" si="48"/>
        <v>#N/A</v>
      </c>
    </row>
    <row r="147" spans="1:43" s="336" customFormat="1" x14ac:dyDescent="0.2">
      <c r="A147" s="340"/>
      <c r="E147" s="337" t="s">
        <v>320</v>
      </c>
      <c r="F147" s="338"/>
      <c r="G147" s="337"/>
      <c r="H147" s="339" t="e">
        <f>SUM(M147:AQ147)</f>
        <v>#N/A</v>
      </c>
      <c r="I147" s="338"/>
      <c r="J147" s="338"/>
      <c r="K147" s="338"/>
      <c r="L147" s="338"/>
      <c r="M147" s="337" t="e">
        <f t="shared" ref="M147:AQ147" si="49" xml:space="preserve"> M146 / (1 + $F145) ^ (M$6 - 1)</f>
        <v>#N/A</v>
      </c>
      <c r="N147" s="337" t="e">
        <f t="shared" si="49"/>
        <v>#N/A</v>
      </c>
      <c r="O147" s="337" t="e">
        <f t="shared" si="49"/>
        <v>#N/A</v>
      </c>
      <c r="P147" s="337" t="e">
        <f t="shared" si="49"/>
        <v>#N/A</v>
      </c>
      <c r="Q147" s="337" t="e">
        <f t="shared" si="49"/>
        <v>#N/A</v>
      </c>
      <c r="R147" s="337" t="e">
        <f t="shared" si="49"/>
        <v>#N/A</v>
      </c>
      <c r="S147" s="337" t="e">
        <f t="shared" si="49"/>
        <v>#N/A</v>
      </c>
      <c r="T147" s="337" t="e">
        <f t="shared" si="49"/>
        <v>#N/A</v>
      </c>
      <c r="U147" s="337" t="e">
        <f t="shared" si="49"/>
        <v>#N/A</v>
      </c>
      <c r="V147" s="337" t="e">
        <f t="shared" si="49"/>
        <v>#N/A</v>
      </c>
      <c r="W147" s="337" t="e">
        <f t="shared" si="49"/>
        <v>#N/A</v>
      </c>
      <c r="X147" s="337" t="e">
        <f t="shared" si="49"/>
        <v>#N/A</v>
      </c>
      <c r="Y147" s="337" t="e">
        <f t="shared" si="49"/>
        <v>#N/A</v>
      </c>
      <c r="Z147" s="337" t="e">
        <f t="shared" si="49"/>
        <v>#N/A</v>
      </c>
      <c r="AA147" s="337" t="e">
        <f t="shared" si="49"/>
        <v>#N/A</v>
      </c>
      <c r="AB147" s="337" t="e">
        <f t="shared" si="49"/>
        <v>#N/A</v>
      </c>
      <c r="AC147" s="337" t="e">
        <f t="shared" si="49"/>
        <v>#N/A</v>
      </c>
      <c r="AD147" s="337" t="e">
        <f t="shared" si="49"/>
        <v>#N/A</v>
      </c>
      <c r="AE147" s="337" t="e">
        <f t="shared" si="49"/>
        <v>#N/A</v>
      </c>
      <c r="AF147" s="337" t="e">
        <f t="shared" si="49"/>
        <v>#N/A</v>
      </c>
      <c r="AG147" s="337" t="e">
        <f t="shared" si="49"/>
        <v>#N/A</v>
      </c>
      <c r="AH147" s="337" t="e">
        <f t="shared" si="49"/>
        <v>#N/A</v>
      </c>
      <c r="AI147" s="337" t="e">
        <f t="shared" si="49"/>
        <v>#N/A</v>
      </c>
      <c r="AJ147" s="337" t="e">
        <f t="shared" si="49"/>
        <v>#N/A</v>
      </c>
      <c r="AK147" s="337" t="e">
        <f t="shared" si="49"/>
        <v>#N/A</v>
      </c>
      <c r="AL147" s="337" t="e">
        <f t="shared" si="49"/>
        <v>#N/A</v>
      </c>
      <c r="AM147" s="337" t="e">
        <f t="shared" si="49"/>
        <v>#N/A</v>
      </c>
      <c r="AN147" s="337" t="e">
        <f t="shared" si="49"/>
        <v>#N/A</v>
      </c>
      <c r="AO147" s="337" t="e">
        <f t="shared" si="49"/>
        <v>#N/A</v>
      </c>
      <c r="AP147" s="337" t="e">
        <f t="shared" si="49"/>
        <v>#N/A</v>
      </c>
      <c r="AQ147" s="337" t="e">
        <f t="shared" si="49"/>
        <v>#N/A</v>
      </c>
    </row>
    <row r="148" spans="1:43" s="340" customFormat="1" ht="15.75" thickBot="1" x14ac:dyDescent="0.25">
      <c r="E148" s="599" t="s">
        <v>319</v>
      </c>
      <c r="F148" s="599"/>
      <c r="G148" s="599"/>
      <c r="H148" s="600" t="e">
        <f>SUM(M148:AQ148)</f>
        <v>#N/A</v>
      </c>
      <c r="I148" s="601"/>
      <c r="J148" s="601"/>
      <c r="K148" s="601"/>
      <c r="L148" s="601"/>
      <c r="M148" s="599" t="e">
        <f t="shared" ref="M148:AQ148" si="50">M147/(1-$F$137)</f>
        <v>#N/A</v>
      </c>
      <c r="N148" s="599" t="e">
        <f t="shared" si="50"/>
        <v>#N/A</v>
      </c>
      <c r="O148" s="599" t="e">
        <f t="shared" si="50"/>
        <v>#N/A</v>
      </c>
      <c r="P148" s="599" t="e">
        <f t="shared" si="50"/>
        <v>#N/A</v>
      </c>
      <c r="Q148" s="599" t="e">
        <f t="shared" si="50"/>
        <v>#N/A</v>
      </c>
      <c r="R148" s="599" t="e">
        <f t="shared" si="50"/>
        <v>#N/A</v>
      </c>
      <c r="S148" s="599" t="e">
        <f t="shared" si="50"/>
        <v>#N/A</v>
      </c>
      <c r="T148" s="599" t="e">
        <f t="shared" si="50"/>
        <v>#N/A</v>
      </c>
      <c r="U148" s="599" t="e">
        <f t="shared" si="50"/>
        <v>#N/A</v>
      </c>
      <c r="V148" s="599" t="e">
        <f t="shared" si="50"/>
        <v>#N/A</v>
      </c>
      <c r="W148" s="599" t="e">
        <f t="shared" si="50"/>
        <v>#N/A</v>
      </c>
      <c r="X148" s="599" t="e">
        <f t="shared" si="50"/>
        <v>#N/A</v>
      </c>
      <c r="Y148" s="599" t="e">
        <f t="shared" si="50"/>
        <v>#N/A</v>
      </c>
      <c r="Z148" s="599" t="e">
        <f t="shared" si="50"/>
        <v>#N/A</v>
      </c>
      <c r="AA148" s="599" t="e">
        <f t="shared" si="50"/>
        <v>#N/A</v>
      </c>
      <c r="AB148" s="599" t="e">
        <f t="shared" si="50"/>
        <v>#N/A</v>
      </c>
      <c r="AC148" s="599" t="e">
        <f t="shared" si="50"/>
        <v>#N/A</v>
      </c>
      <c r="AD148" s="599" t="e">
        <f t="shared" si="50"/>
        <v>#N/A</v>
      </c>
      <c r="AE148" s="599" t="e">
        <f t="shared" si="50"/>
        <v>#N/A</v>
      </c>
      <c r="AF148" s="599" t="e">
        <f t="shared" si="50"/>
        <v>#N/A</v>
      </c>
      <c r="AG148" s="599" t="e">
        <f t="shared" si="50"/>
        <v>#N/A</v>
      </c>
      <c r="AH148" s="599" t="e">
        <f t="shared" si="50"/>
        <v>#N/A</v>
      </c>
      <c r="AI148" s="599" t="e">
        <f t="shared" si="50"/>
        <v>#N/A</v>
      </c>
      <c r="AJ148" s="599" t="e">
        <f t="shared" si="50"/>
        <v>#N/A</v>
      </c>
      <c r="AK148" s="599" t="e">
        <f t="shared" si="50"/>
        <v>#N/A</v>
      </c>
      <c r="AL148" s="599" t="e">
        <f t="shared" si="50"/>
        <v>#N/A</v>
      </c>
      <c r="AM148" s="599" t="e">
        <f t="shared" si="50"/>
        <v>#N/A</v>
      </c>
      <c r="AN148" s="599" t="e">
        <f t="shared" si="50"/>
        <v>#N/A</v>
      </c>
      <c r="AO148" s="599" t="e">
        <f t="shared" si="50"/>
        <v>#N/A</v>
      </c>
      <c r="AP148" s="599" t="e">
        <f t="shared" si="50"/>
        <v>#N/A</v>
      </c>
      <c r="AQ148" s="599" t="e">
        <f t="shared" si="50"/>
        <v>#N/A</v>
      </c>
    </row>
    <row r="149" spans="1:43" s="415" customFormat="1" ht="15.75" thickTop="1" x14ac:dyDescent="0.2">
      <c r="A149" s="414"/>
      <c r="E149" s="334"/>
      <c r="F149" s="334"/>
      <c r="G149" s="334"/>
      <c r="H149" s="335"/>
      <c r="I149" s="335"/>
      <c r="J149" s="335"/>
      <c r="K149" s="335"/>
      <c r="L149" s="335"/>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row>
    <row r="150" spans="1:43" x14ac:dyDescent="0.2"/>
    <row r="151" spans="1:43" x14ac:dyDescent="0.2"/>
    <row r="152" spans="1:43" x14ac:dyDescent="0.2"/>
    <row r="153" spans="1:43" x14ac:dyDescent="0.2"/>
    <row r="154" spans="1:43" x14ac:dyDescent="0.2"/>
    <row r="155" spans="1:43" x14ac:dyDescent="0.2"/>
    <row r="156" spans="1:43" x14ac:dyDescent="0.2"/>
    <row r="157" spans="1:43" x14ac:dyDescent="0.2"/>
    <row r="158" spans="1:43" x14ac:dyDescent="0.2"/>
    <row r="159" spans="1:43" x14ac:dyDescent="0.2"/>
    <row r="160" spans="1:43"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sheetData>
  <sheetProtection algorithmName="SHA-512" hashValue="B2mutZ8T3M4ONj/mGmg7vp8teq/RU5IbgxFauujpTBulfE/0V+fjiOZv88F74hhbQuFxspPBuqvzg2SK8fQA2g==" saltValue="fMDY8No83ixoVAGLuyd8nw=="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4">
    <tabColor rgb="FF00B0F0"/>
  </sheetPr>
  <dimension ref="A1:U2"/>
  <sheetViews>
    <sheetView zoomScaleNormal="100" workbookViewId="0">
      <pane xSplit="5" ySplit="1" topLeftCell="K2" activePane="bottomRight" state="frozen"/>
      <selection activeCell="H37" sqref="H37"/>
      <selection pane="topRight" activeCell="H37" sqref="H37"/>
      <selection pane="bottomLeft" activeCell="H37" sqref="H37"/>
      <selection pane="bottomRight" activeCell="A2" sqref="A2"/>
    </sheetView>
  </sheetViews>
  <sheetFormatPr defaultColWidth="9.28515625" defaultRowHeight="11.25" x14ac:dyDescent="0.15"/>
  <cols>
    <col min="1" max="1" width="8.7109375" style="124" bestFit="1" customWidth="1"/>
    <col min="2" max="3" width="13.5703125" style="123" customWidth="1"/>
    <col min="4" max="4" width="17.28515625" style="123" customWidth="1"/>
    <col min="5" max="5" width="21.28515625" style="190" customWidth="1"/>
    <col min="6" max="11" width="14.28515625" style="123" customWidth="1"/>
    <col min="12" max="12" width="15.5703125" style="123" customWidth="1"/>
    <col min="13" max="13" width="14.28515625" style="123" customWidth="1"/>
    <col min="14" max="14" width="13.28515625" style="123" bestFit="1" customWidth="1"/>
    <col min="15" max="15" width="13.5703125" style="123" customWidth="1"/>
    <col min="16" max="16" width="14.28515625" style="123" customWidth="1"/>
    <col min="17" max="17" width="13.5703125" style="123" customWidth="1"/>
    <col min="18" max="18" width="15.5703125" style="123" customWidth="1"/>
    <col min="19" max="19" width="13.5703125" style="123" customWidth="1"/>
    <col min="20" max="20" width="19.7109375" style="125" customWidth="1"/>
    <col min="21" max="21" width="23.28515625" style="123" customWidth="1"/>
    <col min="22" max="16384" width="9.28515625" style="123"/>
  </cols>
  <sheetData>
    <row r="1" spans="1:21" s="321" customFormat="1" ht="56.25" x14ac:dyDescent="0.2">
      <c r="A1" s="225" t="s">
        <v>26</v>
      </c>
      <c r="B1" s="316" t="s">
        <v>11</v>
      </c>
      <c r="C1" s="316" t="s">
        <v>12</v>
      </c>
      <c r="D1" s="316" t="s">
        <v>44</v>
      </c>
      <c r="E1" s="316" t="s">
        <v>13</v>
      </c>
      <c r="F1" s="469" t="s">
        <v>102</v>
      </c>
      <c r="G1" s="469" t="s">
        <v>90</v>
      </c>
      <c r="H1" s="469" t="s">
        <v>178</v>
      </c>
      <c r="I1" s="469" t="s">
        <v>91</v>
      </c>
      <c r="J1" s="469" t="s">
        <v>92</v>
      </c>
      <c r="K1" s="469" t="s">
        <v>93</v>
      </c>
      <c r="L1" s="317" t="s">
        <v>104</v>
      </c>
      <c r="M1" s="318" t="s">
        <v>200</v>
      </c>
      <c r="N1" s="318" t="s">
        <v>201</v>
      </c>
      <c r="O1" s="318" t="s">
        <v>105</v>
      </c>
      <c r="P1" s="319" t="s">
        <v>95</v>
      </c>
      <c r="Q1" s="319" t="s">
        <v>96</v>
      </c>
      <c r="R1" s="319" t="s">
        <v>97</v>
      </c>
      <c r="S1" s="319" t="s">
        <v>69</v>
      </c>
      <c r="T1" s="538" t="s">
        <v>28</v>
      </c>
      <c r="U1" s="320"/>
    </row>
    <row r="2" spans="1:21" s="191" customFormat="1" ht="45" x14ac:dyDescent="0.2">
      <c r="A2" s="220">
        <v>0</v>
      </c>
      <c r="B2" s="221">
        <f>Project!$B$7</f>
        <v>0</v>
      </c>
      <c r="C2" s="222" t="str">
        <f>Project!$B$4</f>
        <v>[Dit veld wordt door RVO ingevuld]</v>
      </c>
      <c r="D2" s="222">
        <f>Project!$B$16</f>
        <v>0</v>
      </c>
      <c r="E2" s="222" t="str">
        <f>Project!B6</f>
        <v>Warmtenetten Investeringssubsidie (WIS)</v>
      </c>
      <c r="F2" s="223">
        <f>Begroting!Q41</f>
        <v>0</v>
      </c>
      <c r="G2" s="223">
        <f>Begroting!Q65</f>
        <v>0</v>
      </c>
      <c r="H2" s="223">
        <f>Begroting!Q86</f>
        <v>0</v>
      </c>
      <c r="I2" s="223">
        <f>Begroting!Q109</f>
        <v>0</v>
      </c>
      <c r="J2" s="223">
        <f>Begroting!Q133</f>
        <v>0</v>
      </c>
      <c r="K2" s="223">
        <f>Begroting!Q147</f>
        <v>0</v>
      </c>
      <c r="L2" s="223">
        <f>Begroting!Q149</f>
        <v>0</v>
      </c>
      <c r="M2" s="223" t="e">
        <f>Begroting!Q154</f>
        <v>#N/A</v>
      </c>
      <c r="N2" s="223">
        <f>Begroting!Q168</f>
        <v>0</v>
      </c>
      <c r="O2" s="224">
        <f>Begroting!O181</f>
        <v>0</v>
      </c>
      <c r="P2" s="223" t="e">
        <f>Begroting!Q178</f>
        <v>#N/A</v>
      </c>
      <c r="Q2" s="223">
        <f>Begroting!Q180</f>
        <v>0</v>
      </c>
      <c r="R2" s="223">
        <f>Begroting!Q181</f>
        <v>0</v>
      </c>
      <c r="S2" s="223">
        <f>Begroting!Q183</f>
        <v>0</v>
      </c>
      <c r="T2" s="222" t="str">
        <f>Project!C16</f>
        <v>&lt;maak een keuze&gt;</v>
      </c>
    </row>
  </sheetData>
  <sheetProtection selectLockedCells="1"/>
  <phoneticPr fontId="6" type="noConversion"/>
  <pageMargins left="0.75" right="0.75" top="1" bottom="1" header="0.5" footer="0.5"/>
  <pageSetup paperSize="9" scale="4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tabColor rgb="FF7030A0"/>
  </sheetPr>
  <dimension ref="A1:L33"/>
  <sheetViews>
    <sheetView zoomScaleNormal="100" workbookViewId="0">
      <selection activeCell="A12" sqref="A12"/>
    </sheetView>
  </sheetViews>
  <sheetFormatPr defaultRowHeight="12.75" x14ac:dyDescent="0.2"/>
  <cols>
    <col min="1" max="4" width="33.28515625" customWidth="1"/>
    <col min="6" max="6" width="32" customWidth="1"/>
    <col min="7" max="8" width="14.7109375" customWidth="1"/>
    <col min="9" max="9" width="54" customWidth="1"/>
    <col min="10" max="15" width="9.28515625" customWidth="1"/>
  </cols>
  <sheetData>
    <row r="1" spans="1:12" x14ac:dyDescent="0.2">
      <c r="A1" s="6" t="s">
        <v>64</v>
      </c>
      <c r="B1" s="8"/>
      <c r="C1" s="9"/>
      <c r="D1" s="9"/>
    </row>
    <row r="2" spans="1:12" x14ac:dyDescent="0.2">
      <c r="A2" s="313" t="s">
        <v>37</v>
      </c>
      <c r="B2" s="315" t="s">
        <v>80</v>
      </c>
      <c r="C2" s="314" t="s">
        <v>40</v>
      </c>
      <c r="D2" s="314" t="s">
        <v>204</v>
      </c>
      <c r="F2" s="369" t="s">
        <v>399</v>
      </c>
      <c r="G2" s="370"/>
      <c r="H2" s="370"/>
      <c r="I2" s="371"/>
      <c r="J2" s="1"/>
      <c r="K2" s="1"/>
      <c r="L2" s="1"/>
    </row>
    <row r="3" spans="1:12" x14ac:dyDescent="0.2">
      <c r="A3" s="7" t="s">
        <v>66</v>
      </c>
      <c r="B3" s="4">
        <v>1</v>
      </c>
      <c r="C3" s="4" t="s">
        <v>66</v>
      </c>
      <c r="D3" s="4" t="s">
        <v>66</v>
      </c>
      <c r="F3" s="372"/>
      <c r="G3" s="373"/>
      <c r="H3" s="373"/>
      <c r="I3" s="374"/>
      <c r="J3" s="13"/>
      <c r="K3" s="13"/>
      <c r="L3" s="13"/>
    </row>
    <row r="4" spans="1:12" ht="51" x14ac:dyDescent="0.2">
      <c r="A4" s="4" t="s">
        <v>47</v>
      </c>
      <c r="B4">
        <v>2</v>
      </c>
      <c r="C4" s="4" t="s">
        <v>115</v>
      </c>
      <c r="D4" s="4" t="s">
        <v>202</v>
      </c>
      <c r="F4" s="372" t="s">
        <v>404</v>
      </c>
      <c r="G4" s="373" t="s">
        <v>384</v>
      </c>
      <c r="H4" s="379">
        <v>1000000</v>
      </c>
      <c r="I4" s="375" t="s">
        <v>385</v>
      </c>
      <c r="J4" s="13"/>
      <c r="K4" s="13"/>
      <c r="L4" s="15"/>
    </row>
    <row r="5" spans="1:12" ht="51" x14ac:dyDescent="0.2">
      <c r="A5" s="4" t="s">
        <v>48</v>
      </c>
      <c r="B5">
        <v>3</v>
      </c>
      <c r="C5" s="4" t="s">
        <v>116</v>
      </c>
      <c r="D5" s="4" t="s">
        <v>203</v>
      </c>
      <c r="F5" s="372" t="s">
        <v>386</v>
      </c>
      <c r="G5" s="373" t="s">
        <v>387</v>
      </c>
      <c r="H5" s="379">
        <v>780000</v>
      </c>
      <c r="I5" s="375" t="s">
        <v>388</v>
      </c>
      <c r="J5" s="13"/>
      <c r="K5" s="13"/>
      <c r="L5" s="15"/>
    </row>
    <row r="6" spans="1:12" x14ac:dyDescent="0.2">
      <c r="A6" s="4" t="s">
        <v>49</v>
      </c>
      <c r="B6" s="4">
        <v>4</v>
      </c>
      <c r="D6" s="4"/>
      <c r="F6" s="372" t="s">
        <v>150</v>
      </c>
      <c r="G6" s="373" t="s">
        <v>389</v>
      </c>
      <c r="H6" s="379">
        <v>100000</v>
      </c>
      <c r="I6" s="375" t="s">
        <v>390</v>
      </c>
      <c r="J6" s="13"/>
      <c r="K6" s="13"/>
      <c r="L6" s="15"/>
    </row>
    <row r="7" spans="1:12" ht="38.25" x14ac:dyDescent="0.2">
      <c r="A7" s="4" t="s">
        <v>45</v>
      </c>
      <c r="B7">
        <v>5</v>
      </c>
      <c r="C7" s="3"/>
      <c r="D7" s="4"/>
      <c r="F7" s="372" t="s">
        <v>391</v>
      </c>
      <c r="G7" s="373" t="s">
        <v>392</v>
      </c>
      <c r="H7" s="379">
        <v>3800</v>
      </c>
      <c r="I7" s="375" t="s">
        <v>393</v>
      </c>
      <c r="J7" s="13"/>
      <c r="K7" s="13"/>
      <c r="L7" s="15"/>
    </row>
    <row r="8" spans="1:12" x14ac:dyDescent="0.2">
      <c r="A8" s="16"/>
      <c r="B8">
        <v>6</v>
      </c>
      <c r="C8" s="4"/>
      <c r="F8" s="372" t="s">
        <v>394</v>
      </c>
      <c r="G8" s="373" t="s">
        <v>395</v>
      </c>
      <c r="H8" s="379">
        <v>2100</v>
      </c>
      <c r="I8" s="375" t="s">
        <v>396</v>
      </c>
      <c r="J8" s="13"/>
      <c r="K8" s="13"/>
      <c r="L8" s="15"/>
    </row>
    <row r="9" spans="1:12" ht="12.75" customHeight="1" x14ac:dyDescent="0.2">
      <c r="A9" s="16"/>
      <c r="B9" s="4">
        <v>7</v>
      </c>
      <c r="C9" s="4"/>
      <c r="F9" s="376" t="s">
        <v>397</v>
      </c>
      <c r="G9" s="377" t="s">
        <v>398</v>
      </c>
      <c r="H9" s="380">
        <v>977</v>
      </c>
      <c r="I9" s="378"/>
      <c r="J9" s="13"/>
      <c r="K9" s="13"/>
      <c r="L9" s="15"/>
    </row>
    <row r="10" spans="1:12" x14ac:dyDescent="0.2">
      <c r="A10" s="16"/>
      <c r="B10">
        <v>8</v>
      </c>
      <c r="C10" s="4"/>
      <c r="I10" s="4"/>
      <c r="J10" s="13"/>
      <c r="K10" s="13"/>
      <c r="L10" s="15"/>
    </row>
    <row r="11" spans="1:12" ht="12.75" customHeight="1" x14ac:dyDescent="0.2">
      <c r="B11">
        <v>9</v>
      </c>
      <c r="C11" s="4"/>
      <c r="I11" s="4"/>
      <c r="J11" s="13"/>
      <c r="K11" s="13"/>
      <c r="L11" s="15"/>
    </row>
    <row r="12" spans="1:12" x14ac:dyDescent="0.2">
      <c r="B12">
        <v>10</v>
      </c>
      <c r="I12" s="4"/>
    </row>
    <row r="13" spans="1:12" x14ac:dyDescent="0.2">
      <c r="B13" s="17"/>
      <c r="I13" s="4"/>
    </row>
    <row r="14" spans="1:12" x14ac:dyDescent="0.2">
      <c r="B14" s="5"/>
    </row>
    <row r="15" spans="1:12" x14ac:dyDescent="0.2">
      <c r="B15" s="4"/>
      <c r="C15" s="1"/>
      <c r="I15" s="4"/>
    </row>
    <row r="16" spans="1:12" x14ac:dyDescent="0.2">
      <c r="B16" s="4"/>
      <c r="C16" s="13"/>
      <c r="I16" s="4"/>
    </row>
    <row r="17" spans="1:3" x14ac:dyDescent="0.2">
      <c r="B17" s="4"/>
      <c r="C17" s="4"/>
    </row>
    <row r="18" spans="1:3" x14ac:dyDescent="0.2">
      <c r="B18" s="4"/>
      <c r="C18" s="4"/>
    </row>
    <row r="19" spans="1:3" x14ac:dyDescent="0.2">
      <c r="A19" s="4"/>
      <c r="B19" s="4"/>
      <c r="C19" s="4"/>
    </row>
    <row r="20" spans="1:3" x14ac:dyDescent="0.2">
      <c r="C20" s="4"/>
    </row>
    <row r="21" spans="1:3" x14ac:dyDescent="0.2">
      <c r="C21" s="4"/>
    </row>
    <row r="22" spans="1:3" x14ac:dyDescent="0.2">
      <c r="C22" s="4"/>
    </row>
    <row r="23" spans="1:3" x14ac:dyDescent="0.2">
      <c r="C23" s="4"/>
    </row>
    <row r="24" spans="1:3" x14ac:dyDescent="0.2">
      <c r="A24" s="13" t="s">
        <v>100</v>
      </c>
      <c r="C24" s="4"/>
    </row>
    <row r="25" spans="1:3" x14ac:dyDescent="0.2">
      <c r="A25" s="1"/>
      <c r="C25" s="7"/>
    </row>
    <row r="26" spans="1:3" x14ac:dyDescent="0.2">
      <c r="A26" s="13"/>
    </row>
    <row r="27" spans="1:3" x14ac:dyDescent="0.2">
      <c r="A27" s="13"/>
    </row>
    <row r="28" spans="1:3" x14ac:dyDescent="0.2">
      <c r="A28" s="13"/>
    </row>
    <row r="29" spans="1:3" x14ac:dyDescent="0.2">
      <c r="A29" s="13"/>
    </row>
    <row r="31" spans="1:3" x14ac:dyDescent="0.2">
      <c r="A31" s="1"/>
    </row>
    <row r="32" spans="1:3" x14ac:dyDescent="0.2">
      <c r="A32" s="13"/>
    </row>
    <row r="33" spans="1:1" x14ac:dyDescent="0.2">
      <c r="A33" s="13"/>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2B3F-3D8E-4FE3-8433-7B70ADB0014B}">
  <sheetPr codeName="Blad2">
    <tabColor theme="7"/>
  </sheetPr>
  <dimension ref="A1:H4"/>
  <sheetViews>
    <sheetView workbookViewId="0">
      <selection activeCell="H37" sqref="H37"/>
    </sheetView>
  </sheetViews>
  <sheetFormatPr defaultColWidth="9.28515625" defaultRowHeight="15" x14ac:dyDescent="0.2"/>
  <cols>
    <col min="1" max="2" width="9.28515625" style="323"/>
    <col min="3" max="3" width="13.28515625" style="323" customWidth="1"/>
    <col min="4" max="4" width="14" style="323" customWidth="1"/>
    <col min="5" max="5" width="20.7109375" style="323" customWidth="1"/>
    <col min="6" max="6" width="23" style="323" customWidth="1"/>
    <col min="7" max="7" width="13.5703125" style="323" customWidth="1"/>
    <col min="8" max="8" width="19.28515625" style="323" customWidth="1"/>
    <col min="9" max="16384" width="9.28515625" style="323"/>
  </cols>
  <sheetData>
    <row r="1" spans="1:8" x14ac:dyDescent="0.2">
      <c r="A1" s="324" t="s">
        <v>383</v>
      </c>
      <c r="C1" s="323" t="s">
        <v>382</v>
      </c>
      <c r="D1" s="323" t="s">
        <v>381</v>
      </c>
      <c r="E1" s="323" t="s">
        <v>380</v>
      </c>
      <c r="F1" s="323" t="s">
        <v>379</v>
      </c>
      <c r="G1" s="323" t="s">
        <v>378</v>
      </c>
      <c r="H1" s="323" t="s">
        <v>377</v>
      </c>
    </row>
    <row r="2" spans="1:8" x14ac:dyDescent="0.2">
      <c r="B2" s="323" t="s">
        <v>263</v>
      </c>
      <c r="C2" s="333">
        <v>454.2</v>
      </c>
      <c r="D2" s="333">
        <v>25.41</v>
      </c>
      <c r="E2" s="333">
        <f>C2+D2</f>
        <v>479.61</v>
      </c>
      <c r="F2" s="333">
        <v>116.43</v>
      </c>
      <c r="G2" s="333">
        <v>11</v>
      </c>
      <c r="H2" s="333">
        <v>0</v>
      </c>
    </row>
    <row r="3" spans="1:8" x14ac:dyDescent="0.2">
      <c r="B3" s="323" t="s">
        <v>376</v>
      </c>
      <c r="C3" s="333">
        <v>227.1</v>
      </c>
      <c r="D3" s="333">
        <v>25.41</v>
      </c>
      <c r="E3" s="333">
        <f>C3+D3</f>
        <v>252.51</v>
      </c>
      <c r="F3" s="333">
        <v>106.58</v>
      </c>
      <c r="G3" s="333">
        <v>11</v>
      </c>
      <c r="H3" s="333">
        <v>0</v>
      </c>
    </row>
    <row r="4" spans="1:8" x14ac:dyDescent="0.2">
      <c r="B4" s="323" t="s">
        <v>375</v>
      </c>
      <c r="C4" s="333">
        <v>249.15</v>
      </c>
      <c r="D4" s="333">
        <v>25.41</v>
      </c>
      <c r="E4" s="333">
        <f>C4+D4</f>
        <v>274.56</v>
      </c>
      <c r="F4" s="333">
        <v>90.29</v>
      </c>
      <c r="G4" s="333">
        <v>0</v>
      </c>
      <c r="H4" s="333">
        <v>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9">
    <tabColor rgb="FF00B0F0"/>
    <pageSetUpPr fitToPage="1"/>
  </sheetPr>
  <dimension ref="A1:AM108"/>
  <sheetViews>
    <sheetView showGridLines="0" zoomScaleNormal="100" zoomScaleSheetLayoutView="100" workbookViewId="0">
      <selection activeCell="I21" sqref="I21"/>
    </sheetView>
  </sheetViews>
  <sheetFormatPr defaultColWidth="9.28515625" defaultRowHeight="11.25" x14ac:dyDescent="0.15"/>
  <cols>
    <col min="1" max="1" width="7.5703125" style="180" customWidth="1"/>
    <col min="2" max="17" width="9.28515625" style="24"/>
    <col min="18" max="18" width="3.28515625" style="24" customWidth="1"/>
    <col min="19" max="16384" width="9.28515625" style="24"/>
  </cols>
  <sheetData>
    <row r="1" spans="1:39" x14ac:dyDescent="0.15">
      <c r="A1" s="11"/>
      <c r="B1" s="10"/>
      <c r="C1" s="11"/>
      <c r="D1" s="10"/>
      <c r="E1" s="10"/>
      <c r="F1" s="10"/>
      <c r="G1" s="10"/>
      <c r="H1" s="10"/>
      <c r="I1" s="10"/>
      <c r="J1" s="10"/>
      <c r="K1" s="10"/>
      <c r="L1" s="10"/>
      <c r="M1" s="10"/>
      <c r="N1" s="10"/>
      <c r="O1" s="10"/>
      <c r="P1" s="10"/>
      <c r="Q1" s="23"/>
      <c r="W1" s="25"/>
      <c r="X1" s="25"/>
      <c r="Y1" s="25"/>
      <c r="Z1" s="25"/>
      <c r="AA1" s="25"/>
      <c r="AB1" s="25"/>
      <c r="AC1" s="25"/>
      <c r="AD1" s="25"/>
      <c r="AE1" s="25"/>
      <c r="AF1" s="25"/>
      <c r="AG1" s="25"/>
      <c r="AH1" s="25"/>
      <c r="AI1" s="25"/>
      <c r="AJ1" s="25"/>
      <c r="AK1" s="25"/>
      <c r="AL1" s="25"/>
      <c r="AM1" s="25"/>
    </row>
    <row r="2" spans="1:39" x14ac:dyDescent="0.15">
      <c r="A2" s="11"/>
      <c r="B2" s="10"/>
      <c r="C2" s="11"/>
      <c r="D2" s="10"/>
      <c r="E2" s="10"/>
      <c r="F2" s="10"/>
      <c r="G2" s="10"/>
      <c r="H2" s="10"/>
      <c r="I2" s="10"/>
      <c r="J2" s="10"/>
      <c r="K2" s="10"/>
      <c r="L2" s="10"/>
      <c r="M2" s="10"/>
      <c r="N2" s="10"/>
      <c r="O2" s="10"/>
      <c r="P2" s="10"/>
      <c r="Q2" s="10"/>
      <c r="W2" s="25"/>
      <c r="X2" s="25"/>
      <c r="Y2" s="25"/>
      <c r="Z2" s="25"/>
      <c r="AA2" s="25"/>
      <c r="AB2" s="25"/>
      <c r="AC2" s="25"/>
      <c r="AD2" s="25"/>
      <c r="AE2" s="25"/>
      <c r="AF2" s="25"/>
      <c r="AG2" s="25"/>
      <c r="AH2" s="25"/>
      <c r="AI2" s="25"/>
      <c r="AJ2" s="25"/>
      <c r="AK2" s="25"/>
      <c r="AL2" s="25"/>
      <c r="AM2" s="25"/>
    </row>
    <row r="3" spans="1:39" ht="18" x14ac:dyDescent="0.25">
      <c r="A3" s="617" t="s">
        <v>483</v>
      </c>
      <c r="B3" s="10"/>
      <c r="C3" s="21"/>
      <c r="D3" s="10"/>
      <c r="E3" s="10"/>
      <c r="F3" s="10"/>
      <c r="G3" s="10"/>
      <c r="H3" s="10"/>
      <c r="I3" s="12"/>
      <c r="J3" s="12"/>
      <c r="K3" s="10"/>
      <c r="L3" s="10"/>
      <c r="M3" s="10"/>
      <c r="N3" s="10"/>
      <c r="O3" s="10"/>
      <c r="P3" s="10"/>
      <c r="Q3" s="10"/>
      <c r="W3" s="25"/>
      <c r="X3" s="25"/>
      <c r="Y3" s="25"/>
      <c r="Z3" s="25"/>
      <c r="AA3" s="25"/>
      <c r="AB3" s="25"/>
      <c r="AC3" s="25"/>
      <c r="AD3" s="25"/>
      <c r="AE3" s="25"/>
      <c r="AF3" s="25"/>
      <c r="AG3" s="25"/>
      <c r="AH3" s="25"/>
      <c r="AI3" s="25"/>
      <c r="AJ3" s="25"/>
      <c r="AK3" s="25"/>
      <c r="AL3" s="25"/>
      <c r="AM3" s="25"/>
    </row>
    <row r="4" spans="1:39" ht="20.25" x14ac:dyDescent="0.15">
      <c r="A4" s="305" t="s">
        <v>530</v>
      </c>
      <c r="B4" s="11"/>
      <c r="C4" s="21"/>
      <c r="D4" s="10"/>
      <c r="E4" s="10"/>
      <c r="F4" s="10"/>
      <c r="G4" s="10"/>
      <c r="H4" s="10"/>
      <c r="I4" s="12"/>
      <c r="J4" s="12"/>
      <c r="K4" s="10"/>
      <c r="L4" s="10"/>
      <c r="M4" s="10"/>
      <c r="N4" s="10"/>
      <c r="O4" s="10"/>
      <c r="P4" s="10"/>
      <c r="Q4" s="10"/>
      <c r="W4" s="25"/>
      <c r="X4" s="25"/>
      <c r="Y4" s="25"/>
      <c r="Z4" s="25"/>
      <c r="AA4" s="25"/>
      <c r="AB4" s="25"/>
      <c r="AC4" s="25"/>
      <c r="AD4" s="25"/>
      <c r="AE4" s="25"/>
      <c r="AF4" s="25"/>
      <c r="AG4" s="25"/>
      <c r="AH4" s="25"/>
      <c r="AI4" s="25"/>
      <c r="AJ4" s="25"/>
      <c r="AK4" s="25"/>
      <c r="AL4" s="25"/>
      <c r="AM4" s="25"/>
    </row>
    <row r="5" spans="1:39" x14ac:dyDescent="0.15">
      <c r="A5" s="11"/>
      <c r="B5" s="10"/>
      <c r="C5" s="10"/>
      <c r="D5" s="10"/>
      <c r="E5" s="10"/>
      <c r="F5" s="10"/>
      <c r="G5" s="10"/>
      <c r="H5" s="10"/>
      <c r="I5" s="10"/>
      <c r="J5" s="10"/>
      <c r="K5" s="10"/>
      <c r="L5" s="10"/>
      <c r="M5" s="10"/>
      <c r="N5" s="10"/>
      <c r="O5" s="10"/>
      <c r="P5" s="10"/>
      <c r="Q5" s="10"/>
    </row>
    <row r="6" spans="1:39" x14ac:dyDescent="0.15">
      <c r="A6" s="11"/>
      <c r="B6" s="10"/>
      <c r="C6" s="10"/>
      <c r="D6" s="10"/>
      <c r="E6" s="10"/>
      <c r="F6" s="10"/>
      <c r="G6" s="10"/>
      <c r="H6" s="10"/>
      <c r="I6" s="10"/>
      <c r="J6" s="10"/>
      <c r="K6" s="10"/>
      <c r="L6" s="10"/>
      <c r="M6" s="10"/>
      <c r="N6" s="10"/>
      <c r="O6" s="10"/>
      <c r="P6" s="10"/>
      <c r="Q6" s="10"/>
    </row>
    <row r="7" spans="1:39" ht="15" x14ac:dyDescent="0.2">
      <c r="A7" s="176"/>
      <c r="B7" s="10"/>
      <c r="C7" s="10"/>
      <c r="D7" s="10"/>
      <c r="E7" s="10"/>
      <c r="F7" s="10"/>
      <c r="G7" s="10"/>
      <c r="H7" s="10"/>
      <c r="I7" s="10"/>
      <c r="J7" s="10"/>
      <c r="K7" s="10"/>
      <c r="L7" s="10"/>
      <c r="M7" s="10"/>
      <c r="N7" s="10"/>
      <c r="O7" s="10"/>
      <c r="P7" s="10"/>
      <c r="Q7" s="10"/>
    </row>
    <row r="8" spans="1:39" s="169" customFormat="1" ht="14.25" x14ac:dyDescent="0.2">
      <c r="A8" s="177" t="s">
        <v>42</v>
      </c>
      <c r="B8" s="170"/>
      <c r="C8" s="170"/>
      <c r="D8" s="170"/>
      <c r="E8" s="170"/>
      <c r="F8" s="170"/>
      <c r="G8" s="170"/>
      <c r="H8" s="170"/>
      <c r="I8" s="170"/>
      <c r="J8" s="170"/>
      <c r="K8" s="170"/>
      <c r="L8" s="170"/>
      <c r="M8" s="170"/>
      <c r="N8" s="170"/>
      <c r="O8" s="170"/>
      <c r="P8" s="170"/>
      <c r="Q8" s="170"/>
      <c r="W8" s="171"/>
      <c r="X8" s="171"/>
      <c r="Y8" s="171"/>
      <c r="Z8" s="171"/>
      <c r="AA8" s="171"/>
      <c r="AB8" s="171"/>
      <c r="AC8" s="171"/>
      <c r="AD8" s="171"/>
      <c r="AE8" s="171"/>
      <c r="AF8" s="171"/>
      <c r="AG8" s="171"/>
      <c r="AH8" s="171"/>
      <c r="AI8" s="171"/>
      <c r="AJ8" s="171"/>
      <c r="AK8" s="171"/>
      <c r="AL8" s="171"/>
      <c r="AM8" s="171"/>
    </row>
    <row r="9" spans="1:39" ht="11.65" customHeight="1" x14ac:dyDescent="0.15">
      <c r="A9" s="178" t="s">
        <v>519</v>
      </c>
      <c r="B9" s="10"/>
      <c r="C9" s="10"/>
      <c r="D9" s="10"/>
      <c r="E9" s="10"/>
      <c r="F9" s="10"/>
      <c r="G9" s="10"/>
      <c r="H9" s="10"/>
      <c r="I9" s="10"/>
      <c r="J9" s="10"/>
      <c r="K9" s="10"/>
      <c r="L9" s="10"/>
      <c r="M9" s="10"/>
      <c r="N9" s="10"/>
      <c r="O9" s="10"/>
      <c r="P9" s="10"/>
      <c r="Q9" s="10"/>
    </row>
    <row r="10" spans="1:39" s="111" customFormat="1" ht="11.65" customHeight="1" x14ac:dyDescent="0.15">
      <c r="A10" s="230" t="s">
        <v>520</v>
      </c>
    </row>
    <row r="11" spans="1:39" ht="11.65" customHeight="1" x14ac:dyDescent="0.15">
      <c r="A11" s="179" t="s">
        <v>570</v>
      </c>
      <c r="B11" s="10"/>
      <c r="C11" s="10"/>
      <c r="D11" s="10"/>
      <c r="E11" s="10"/>
      <c r="F11" s="10"/>
      <c r="G11" s="10"/>
      <c r="H11" s="10"/>
      <c r="I11" s="10"/>
      <c r="J11" s="10"/>
      <c r="K11" s="10"/>
      <c r="L11" s="10"/>
      <c r="M11" s="10"/>
      <c r="N11" s="10"/>
      <c r="O11" s="10"/>
      <c r="P11" s="10"/>
      <c r="Q11" s="10"/>
    </row>
    <row r="12" spans="1:39" ht="11.65" customHeight="1" x14ac:dyDescent="0.15">
      <c r="A12" s="179"/>
      <c r="B12" s="10"/>
      <c r="C12" s="10"/>
      <c r="D12" s="10"/>
      <c r="E12" s="10"/>
      <c r="F12" s="10"/>
      <c r="G12" s="10"/>
      <c r="H12" s="10"/>
      <c r="I12" s="10"/>
      <c r="J12" s="10"/>
      <c r="K12" s="10"/>
      <c r="L12" s="10"/>
      <c r="M12" s="10"/>
      <c r="N12" s="10"/>
      <c r="O12" s="10"/>
      <c r="P12" s="10"/>
      <c r="Q12" s="10"/>
    </row>
    <row r="13" spans="1:39" ht="11.65" customHeight="1" x14ac:dyDescent="0.15">
      <c r="A13" s="179" t="s">
        <v>131</v>
      </c>
      <c r="B13" s="10"/>
      <c r="C13" s="10"/>
      <c r="D13" s="10"/>
      <c r="E13" s="10"/>
      <c r="F13" s="10"/>
      <c r="G13" s="10"/>
      <c r="H13" s="10"/>
      <c r="I13" s="10"/>
      <c r="J13" s="10"/>
      <c r="K13" s="10"/>
      <c r="L13" s="10"/>
      <c r="M13" s="10"/>
      <c r="N13" s="10"/>
      <c r="O13" s="10"/>
      <c r="P13" s="10"/>
      <c r="Q13" s="10"/>
    </row>
    <row r="14" spans="1:39" ht="11.65" customHeight="1" x14ac:dyDescent="0.15">
      <c r="A14" s="21" t="s">
        <v>523</v>
      </c>
      <c r="B14" s="10"/>
      <c r="C14" s="10"/>
      <c r="D14" s="10"/>
      <c r="E14" s="10"/>
      <c r="F14" s="10"/>
      <c r="G14" s="10"/>
      <c r="H14" s="10"/>
      <c r="I14" s="10"/>
      <c r="J14" s="10"/>
      <c r="K14" s="10"/>
      <c r="L14" s="10"/>
      <c r="M14" s="10"/>
      <c r="N14" s="10"/>
      <c r="O14" s="10"/>
      <c r="P14" s="10"/>
      <c r="Q14" s="10"/>
    </row>
    <row r="15" spans="1:39" s="609" customFormat="1" ht="11.65" customHeight="1" x14ac:dyDescent="0.15">
      <c r="A15" s="604" t="s">
        <v>434</v>
      </c>
      <c r="B15" s="607"/>
      <c r="C15" s="607"/>
      <c r="D15" s="607"/>
      <c r="E15" s="607"/>
      <c r="F15" s="607"/>
      <c r="G15" s="607"/>
      <c r="H15" s="607"/>
      <c r="I15" s="607"/>
      <c r="J15" s="607"/>
      <c r="K15" s="607"/>
      <c r="L15" s="607"/>
      <c r="M15" s="607"/>
      <c r="N15" s="607"/>
      <c r="O15" s="607"/>
      <c r="P15" s="607"/>
      <c r="Q15" s="607"/>
    </row>
    <row r="16" spans="1:39" s="609" customFormat="1" ht="11.65" customHeight="1" x14ac:dyDescent="0.15">
      <c r="A16" s="604" t="s">
        <v>435</v>
      </c>
      <c r="B16" s="607"/>
      <c r="C16" s="607"/>
      <c r="D16" s="607"/>
      <c r="E16" s="607"/>
      <c r="F16" s="607"/>
      <c r="G16" s="607"/>
      <c r="H16" s="607"/>
      <c r="I16" s="607"/>
      <c r="J16" s="607"/>
      <c r="K16" s="607"/>
      <c r="L16" s="607"/>
      <c r="M16" s="607"/>
      <c r="N16" s="607"/>
      <c r="O16" s="607"/>
      <c r="P16" s="607"/>
      <c r="Q16" s="607"/>
    </row>
    <row r="17" spans="1:17" s="609" customFormat="1" ht="11.65" customHeight="1" x14ac:dyDescent="0.15">
      <c r="A17" s="604" t="s">
        <v>572</v>
      </c>
      <c r="B17" s="610"/>
      <c r="C17" s="610"/>
      <c r="D17" s="610"/>
      <c r="E17" s="610"/>
      <c r="F17" s="607"/>
      <c r="G17" s="607"/>
      <c r="H17" s="607"/>
      <c r="I17" s="607"/>
      <c r="J17" s="607"/>
      <c r="K17" s="607"/>
      <c r="L17" s="607"/>
      <c r="M17" s="607"/>
      <c r="N17" s="607"/>
      <c r="O17" s="607"/>
      <c r="P17" s="607"/>
      <c r="Q17" s="607"/>
    </row>
    <row r="18" spans="1:17" s="609" customFormat="1" ht="11.65" customHeight="1" x14ac:dyDescent="0.15">
      <c r="A18" s="604" t="s">
        <v>571</v>
      </c>
      <c r="B18" s="610"/>
      <c r="C18" s="610"/>
      <c r="D18" s="610"/>
      <c r="E18" s="610"/>
      <c r="F18" s="607"/>
      <c r="G18" s="607"/>
      <c r="H18" s="607"/>
      <c r="I18" s="607"/>
      <c r="J18" s="607"/>
      <c r="K18" s="607"/>
      <c r="L18" s="607"/>
      <c r="M18" s="607"/>
      <c r="N18" s="607"/>
      <c r="O18" s="607"/>
      <c r="P18" s="607"/>
      <c r="Q18" s="607"/>
    </row>
    <row r="19" spans="1:17" s="609" customFormat="1" ht="11.65" customHeight="1" x14ac:dyDescent="0.15">
      <c r="A19" s="611" t="s">
        <v>589</v>
      </c>
      <c r="B19" s="610"/>
      <c r="C19" s="610"/>
      <c r="D19" s="610"/>
      <c r="E19" s="610"/>
      <c r="F19" s="607"/>
      <c r="G19" s="607"/>
      <c r="H19" s="607"/>
      <c r="I19" s="607"/>
      <c r="J19" s="607"/>
      <c r="K19" s="607"/>
      <c r="L19" s="607"/>
      <c r="M19" s="607"/>
      <c r="N19" s="607"/>
      <c r="O19" s="607"/>
      <c r="P19" s="607"/>
      <c r="Q19" s="607"/>
    </row>
    <row r="20" spans="1:17" ht="11.65" customHeight="1" x14ac:dyDescent="0.15">
      <c r="A20" s="21" t="s">
        <v>443</v>
      </c>
      <c r="B20" s="271"/>
      <c r="C20" s="271"/>
      <c r="D20" s="271"/>
      <c r="E20" s="271"/>
      <c r="F20" s="10"/>
      <c r="G20" s="10"/>
      <c r="H20" s="10"/>
      <c r="I20" s="10"/>
      <c r="J20" s="10"/>
      <c r="K20" s="10"/>
      <c r="L20" s="10"/>
      <c r="M20" s="10"/>
      <c r="N20" s="10"/>
      <c r="O20" s="10"/>
      <c r="P20" s="10"/>
      <c r="Q20" s="10"/>
    </row>
    <row r="21" spans="1:17" s="111" customFormat="1" ht="11.65" customHeight="1" x14ac:dyDescent="0.15">
      <c r="A21" s="122" t="s">
        <v>468</v>
      </c>
    </row>
    <row r="22" spans="1:17" s="111" customFormat="1" ht="11.65" customHeight="1" x14ac:dyDescent="0.15">
      <c r="A22" s="122"/>
    </row>
    <row r="23" spans="1:17" s="111" customFormat="1" ht="11.65" customHeight="1" x14ac:dyDescent="0.15">
      <c r="A23" s="122" t="s">
        <v>469</v>
      </c>
    </row>
    <row r="24" spans="1:17" s="111" customFormat="1" ht="11.65" customHeight="1" x14ac:dyDescent="0.15">
      <c r="A24" s="122" t="s">
        <v>470</v>
      </c>
    </row>
    <row r="25" spans="1:17" s="111" customFormat="1" ht="11.65" customHeight="1" x14ac:dyDescent="0.15">
      <c r="A25" s="122" t="s">
        <v>471</v>
      </c>
    </row>
    <row r="26" spans="1:17" s="111" customFormat="1" ht="11.65" customHeight="1" x14ac:dyDescent="0.15">
      <c r="A26" s="122"/>
    </row>
    <row r="27" spans="1:17" s="111" customFormat="1" ht="11.65" customHeight="1" x14ac:dyDescent="0.15">
      <c r="A27" s="122" t="s">
        <v>404</v>
      </c>
      <c r="F27" s="111" t="s">
        <v>584</v>
      </c>
    </row>
    <row r="28" spans="1:17" s="111" customFormat="1" ht="11.65" customHeight="1" x14ac:dyDescent="0.15">
      <c r="A28" s="122" t="s">
        <v>386</v>
      </c>
      <c r="F28" s="111" t="s">
        <v>588</v>
      </c>
    </row>
    <row r="29" spans="1:17" s="111" customFormat="1" ht="11.65" customHeight="1" x14ac:dyDescent="0.15">
      <c r="A29" s="122" t="s">
        <v>150</v>
      </c>
      <c r="F29" s="111" t="s">
        <v>585</v>
      </c>
    </row>
    <row r="30" spans="1:17" s="111" customFormat="1" ht="11.65" customHeight="1" x14ac:dyDescent="0.15">
      <c r="A30" s="122" t="s">
        <v>569</v>
      </c>
      <c r="F30" s="111" t="s">
        <v>583</v>
      </c>
    </row>
    <row r="31" spans="1:17" s="111" customFormat="1" ht="11.65" customHeight="1" x14ac:dyDescent="0.15">
      <c r="A31" s="122" t="s">
        <v>394</v>
      </c>
      <c r="F31" s="111" t="s">
        <v>586</v>
      </c>
    </row>
    <row r="32" spans="1:17" s="111" customFormat="1" ht="11.65" customHeight="1" x14ac:dyDescent="0.15">
      <c r="A32" s="122" t="s">
        <v>397</v>
      </c>
      <c r="F32" s="111" t="s">
        <v>587</v>
      </c>
    </row>
    <row r="33" spans="1:39" s="111" customFormat="1" ht="11.65" customHeight="1" thickBot="1" x14ac:dyDescent="0.2">
      <c r="A33" s="122"/>
    </row>
    <row r="34" spans="1:39" s="111" customFormat="1" ht="11.65" customHeight="1" x14ac:dyDescent="0.15">
      <c r="A34" s="707" t="s">
        <v>544</v>
      </c>
      <c r="B34" s="681"/>
      <c r="C34" s="681"/>
      <c r="D34" s="681"/>
      <c r="E34" s="681"/>
      <c r="F34" s="681"/>
      <c r="G34" s="681"/>
      <c r="H34" s="681"/>
      <c r="I34" s="681"/>
      <c r="J34" s="681"/>
      <c r="K34" s="683"/>
      <c r="L34" s="683"/>
      <c r="M34" s="683"/>
      <c r="N34" s="683"/>
      <c r="O34" s="683"/>
      <c r="P34" s="683"/>
      <c r="Q34" s="684"/>
    </row>
    <row r="35" spans="1:39" s="111" customFormat="1" ht="11.65" customHeight="1" thickBot="1" x14ac:dyDescent="0.2">
      <c r="A35" s="690" t="s">
        <v>562</v>
      </c>
      <c r="B35" s="691"/>
      <c r="C35" s="691"/>
      <c r="D35" s="691"/>
      <c r="E35" s="691"/>
      <c r="F35" s="691"/>
      <c r="G35" s="691"/>
      <c r="H35" s="691"/>
      <c r="I35" s="691"/>
      <c r="J35" s="691"/>
      <c r="K35" s="692"/>
      <c r="L35" s="692"/>
      <c r="M35" s="692"/>
      <c r="N35" s="692"/>
      <c r="O35" s="692"/>
      <c r="P35" s="692"/>
      <c r="Q35" s="693"/>
    </row>
    <row r="36" spans="1:39" s="111" customFormat="1" ht="11.65" customHeight="1" x14ac:dyDescent="0.15">
      <c r="A36" s="122"/>
    </row>
    <row r="37" spans="1:39" s="111" customFormat="1" ht="11.65" customHeight="1" x14ac:dyDescent="0.15">
      <c r="A37" s="122" t="s">
        <v>458</v>
      </c>
    </row>
    <row r="38" spans="1:39" s="111" customFormat="1" ht="11.65" customHeight="1" x14ac:dyDescent="0.15">
      <c r="A38" s="122" t="s">
        <v>472</v>
      </c>
    </row>
    <row r="39" spans="1:39" s="111" customFormat="1" ht="11.65" customHeight="1" thickBot="1" x14ac:dyDescent="0.2">
      <c r="A39" s="122"/>
    </row>
    <row r="40" spans="1:39" s="169" customFormat="1" ht="15" thickBot="1" x14ac:dyDescent="0.25">
      <c r="A40" s="708" t="s">
        <v>110</v>
      </c>
      <c r="B40" s="709"/>
      <c r="C40" s="710"/>
      <c r="D40" s="710"/>
      <c r="E40" s="709"/>
      <c r="F40" s="709"/>
      <c r="G40" s="709"/>
      <c r="H40" s="709"/>
      <c r="I40" s="709"/>
      <c r="J40" s="709"/>
      <c r="K40" s="709"/>
      <c r="L40" s="709"/>
      <c r="M40" s="709"/>
      <c r="N40" s="709"/>
      <c r="O40" s="709"/>
      <c r="P40" s="709"/>
      <c r="Q40" s="711"/>
      <c r="W40" s="171"/>
      <c r="X40" s="171"/>
      <c r="Y40" s="171"/>
      <c r="Z40" s="171"/>
      <c r="AA40" s="171"/>
      <c r="AB40" s="171"/>
      <c r="AC40" s="171"/>
      <c r="AD40" s="171"/>
      <c r="AE40" s="171"/>
      <c r="AF40" s="171"/>
      <c r="AG40" s="171"/>
      <c r="AH40" s="171"/>
      <c r="AI40" s="171"/>
      <c r="AJ40" s="171"/>
      <c r="AK40" s="171"/>
      <c r="AL40" s="171"/>
      <c r="AM40" s="171"/>
    </row>
    <row r="41" spans="1:39" ht="11.65" customHeight="1" x14ac:dyDescent="0.15">
      <c r="A41" s="679" t="s">
        <v>444</v>
      </c>
      <c r="B41" s="10"/>
      <c r="C41" s="10"/>
      <c r="D41" s="10"/>
      <c r="E41" s="10"/>
      <c r="F41" s="10"/>
      <c r="G41" s="10"/>
      <c r="H41" s="10"/>
      <c r="I41" s="10"/>
      <c r="J41" s="10"/>
      <c r="K41" s="10"/>
      <c r="L41" s="10"/>
      <c r="M41" s="10"/>
      <c r="N41" s="10"/>
      <c r="O41" s="10"/>
      <c r="P41" s="10"/>
      <c r="Q41" s="10"/>
      <c r="R41" s="111"/>
      <c r="S41" s="111"/>
      <c r="T41" s="111"/>
      <c r="U41" s="111"/>
      <c r="W41" s="25"/>
      <c r="X41" s="25"/>
      <c r="Y41" s="25"/>
      <c r="Z41" s="25"/>
      <c r="AA41" s="25"/>
      <c r="AB41" s="25"/>
      <c r="AC41" s="25"/>
      <c r="AD41" s="25"/>
      <c r="AE41" s="25"/>
      <c r="AF41" s="25"/>
      <c r="AG41" s="25"/>
      <c r="AH41" s="25"/>
      <c r="AI41" s="25"/>
      <c r="AJ41" s="25"/>
      <c r="AK41" s="25"/>
      <c r="AL41" s="25"/>
      <c r="AM41" s="25"/>
    </row>
    <row r="42" spans="1:39" ht="11.65" customHeight="1" x14ac:dyDescent="0.15">
      <c r="A42" s="96" t="s">
        <v>445</v>
      </c>
      <c r="B42" s="10"/>
      <c r="C42" s="10"/>
      <c r="D42" s="10"/>
      <c r="E42" s="10"/>
      <c r="F42" s="10"/>
      <c r="G42" s="10"/>
      <c r="H42" s="10"/>
      <c r="I42" s="10"/>
      <c r="J42" s="10"/>
      <c r="K42" s="10"/>
      <c r="L42" s="10"/>
      <c r="M42" s="10"/>
      <c r="N42" s="10"/>
      <c r="O42" s="10"/>
      <c r="P42" s="10"/>
      <c r="Q42" s="10"/>
      <c r="R42" s="111"/>
      <c r="S42" s="111"/>
      <c r="T42" s="111"/>
      <c r="U42" s="111"/>
      <c r="W42" s="25"/>
      <c r="X42" s="25"/>
      <c r="Y42" s="25"/>
      <c r="Z42" s="25"/>
      <c r="AA42" s="25"/>
      <c r="AB42" s="25"/>
      <c r="AC42" s="25"/>
      <c r="AD42" s="25"/>
      <c r="AE42" s="25"/>
      <c r="AF42" s="25"/>
      <c r="AG42" s="25"/>
      <c r="AH42" s="25"/>
      <c r="AI42" s="25"/>
      <c r="AJ42" s="25"/>
      <c r="AK42" s="25"/>
      <c r="AL42" s="25"/>
      <c r="AM42" s="25"/>
    </row>
    <row r="43" spans="1:39" ht="11.65" customHeight="1" x14ac:dyDescent="0.15">
      <c r="A43" s="96" t="s">
        <v>173</v>
      </c>
      <c r="B43" s="10"/>
      <c r="C43" s="10"/>
      <c r="D43" s="10"/>
      <c r="E43" s="10"/>
      <c r="F43" s="10"/>
      <c r="G43" s="10"/>
      <c r="H43" s="10"/>
      <c r="I43" s="10"/>
      <c r="J43" s="10"/>
      <c r="K43" s="10"/>
      <c r="L43" s="10"/>
      <c r="M43" s="10"/>
      <c r="N43" s="10"/>
      <c r="O43" s="10"/>
      <c r="P43" s="10"/>
      <c r="Q43" s="10"/>
      <c r="R43" s="111"/>
      <c r="S43" s="111"/>
      <c r="T43" s="111"/>
      <c r="U43" s="111"/>
      <c r="W43" s="25"/>
      <c r="X43" s="25"/>
      <c r="Y43" s="25"/>
      <c r="Z43" s="25"/>
      <c r="AA43" s="25"/>
      <c r="AB43" s="25"/>
      <c r="AC43" s="25"/>
      <c r="AD43" s="25"/>
      <c r="AE43" s="25"/>
      <c r="AF43" s="25"/>
      <c r="AG43" s="25"/>
      <c r="AH43" s="25"/>
      <c r="AI43" s="25"/>
      <c r="AJ43" s="25"/>
      <c r="AK43" s="25"/>
      <c r="AL43" s="25"/>
      <c r="AM43" s="25"/>
    </row>
    <row r="44" spans="1:39" ht="11.65" customHeight="1" x14ac:dyDescent="0.15">
      <c r="A44" s="24"/>
      <c r="L44" s="10"/>
      <c r="M44" s="10"/>
      <c r="N44" s="10"/>
      <c r="O44" s="10"/>
      <c r="P44" s="10"/>
      <c r="Q44" s="10"/>
      <c r="R44" s="111"/>
      <c r="S44" s="111"/>
      <c r="T44" s="111"/>
      <c r="U44" s="111"/>
      <c r="W44" s="25"/>
      <c r="X44" s="25"/>
      <c r="Y44" s="25"/>
      <c r="Z44" s="25"/>
      <c r="AA44" s="25"/>
      <c r="AB44" s="25"/>
      <c r="AC44" s="25"/>
      <c r="AD44" s="25"/>
      <c r="AE44" s="25"/>
      <c r="AF44" s="25"/>
      <c r="AG44" s="25"/>
      <c r="AH44" s="25"/>
      <c r="AI44" s="25"/>
      <c r="AJ44" s="25"/>
      <c r="AK44" s="25"/>
      <c r="AL44" s="25"/>
      <c r="AM44" s="25"/>
    </row>
    <row r="45" spans="1:39" ht="11.65" customHeight="1" x14ac:dyDescent="0.15">
      <c r="A45" s="182" t="s">
        <v>177</v>
      </c>
      <c r="B45" s="10"/>
      <c r="C45" s="10"/>
      <c r="D45" s="10"/>
      <c r="E45" s="10"/>
      <c r="F45" s="10"/>
      <c r="G45" s="10"/>
      <c r="H45" s="10"/>
      <c r="I45" s="10"/>
      <c r="J45" s="10"/>
      <c r="K45" s="10"/>
      <c r="L45" s="10"/>
      <c r="M45" s="10"/>
      <c r="N45" s="10"/>
      <c r="O45" s="10"/>
      <c r="P45" s="10"/>
      <c r="Q45" s="10"/>
      <c r="R45" s="111"/>
      <c r="S45" s="111"/>
      <c r="T45" s="111"/>
      <c r="U45" s="111"/>
      <c r="W45" s="25"/>
      <c r="X45" s="25"/>
      <c r="Y45" s="25"/>
      <c r="Z45" s="25"/>
      <c r="AA45" s="25"/>
      <c r="AB45" s="25"/>
      <c r="AC45" s="25"/>
      <c r="AD45" s="25"/>
      <c r="AE45" s="25"/>
      <c r="AF45" s="25"/>
      <c r="AG45" s="25"/>
      <c r="AH45" s="25"/>
      <c r="AI45" s="25"/>
      <c r="AJ45" s="25"/>
      <c r="AK45" s="25"/>
      <c r="AL45" s="25"/>
      <c r="AM45" s="25"/>
    </row>
    <row r="46" spans="1:39" ht="11.65" customHeight="1" x14ac:dyDescent="0.15">
      <c r="A46" s="182" t="s">
        <v>573</v>
      </c>
      <c r="B46" s="10"/>
      <c r="C46" s="10"/>
      <c r="D46" s="10"/>
      <c r="E46" s="10"/>
      <c r="F46" s="10"/>
      <c r="G46" s="10"/>
      <c r="H46" s="10"/>
      <c r="I46" s="10"/>
      <c r="J46" s="10"/>
      <c r="K46" s="10"/>
      <c r="L46" s="10"/>
      <c r="M46" s="10"/>
      <c r="N46" s="10"/>
      <c r="O46" s="10"/>
      <c r="P46" s="10"/>
      <c r="Q46" s="10"/>
      <c r="R46" s="111"/>
      <c r="S46" s="111"/>
      <c r="T46" s="111"/>
      <c r="U46" s="111"/>
      <c r="W46" s="25"/>
      <c r="X46" s="25"/>
      <c r="Y46" s="25"/>
      <c r="Z46" s="25"/>
      <c r="AA46" s="25"/>
      <c r="AB46" s="25"/>
      <c r="AC46" s="25"/>
      <c r="AD46" s="25"/>
      <c r="AE46" s="25"/>
      <c r="AF46" s="25"/>
      <c r="AG46" s="25"/>
      <c r="AH46" s="25"/>
      <c r="AI46" s="25"/>
      <c r="AJ46" s="25"/>
      <c r="AK46" s="25"/>
      <c r="AL46" s="25"/>
      <c r="AM46" s="25"/>
    </row>
    <row r="47" spans="1:39" ht="11.65" customHeight="1" thickBot="1" x14ac:dyDescent="0.2">
      <c r="A47" s="182"/>
      <c r="B47" s="10"/>
      <c r="C47" s="10"/>
      <c r="D47" s="10"/>
      <c r="E47" s="10"/>
      <c r="F47" s="10"/>
      <c r="G47" s="10"/>
      <c r="H47" s="10"/>
      <c r="I47" s="10"/>
      <c r="J47" s="10"/>
      <c r="K47" s="10"/>
      <c r="L47" s="10"/>
      <c r="M47" s="10"/>
      <c r="N47" s="10"/>
      <c r="O47" s="10"/>
      <c r="P47" s="10"/>
      <c r="Q47" s="10"/>
      <c r="R47" s="111"/>
      <c r="S47" s="111"/>
      <c r="T47" s="111"/>
      <c r="U47" s="111"/>
      <c r="W47" s="25"/>
      <c r="X47" s="25"/>
      <c r="Y47" s="25"/>
      <c r="Z47" s="25"/>
      <c r="AA47" s="25"/>
      <c r="AB47" s="25"/>
      <c r="AC47" s="25"/>
      <c r="AD47" s="25"/>
      <c r="AE47" s="25"/>
      <c r="AF47" s="25"/>
      <c r="AG47" s="25"/>
      <c r="AH47" s="25"/>
      <c r="AI47" s="25"/>
      <c r="AJ47" s="25"/>
      <c r="AK47" s="25"/>
      <c r="AL47" s="25"/>
      <c r="AM47" s="25"/>
    </row>
    <row r="48" spans="1:39" ht="11.65" customHeight="1" x14ac:dyDescent="0.15">
      <c r="A48" s="694" t="s">
        <v>174</v>
      </c>
      <c r="B48" s="683"/>
      <c r="C48" s="683"/>
      <c r="D48" s="683"/>
      <c r="E48" s="683"/>
      <c r="F48" s="683"/>
      <c r="G48" s="683"/>
      <c r="H48" s="683"/>
      <c r="I48" s="683"/>
      <c r="J48" s="683"/>
      <c r="K48" s="683"/>
      <c r="L48" s="683"/>
      <c r="M48" s="683"/>
      <c r="N48" s="683"/>
      <c r="O48" s="683"/>
      <c r="P48" s="683"/>
      <c r="Q48" s="684"/>
      <c r="R48" s="111"/>
      <c r="S48" s="111"/>
      <c r="T48" s="111"/>
      <c r="U48" s="111"/>
      <c r="W48" s="25"/>
      <c r="X48" s="25"/>
      <c r="Y48" s="25"/>
      <c r="Z48" s="25"/>
      <c r="AA48" s="25"/>
      <c r="AB48" s="25"/>
      <c r="AC48" s="25"/>
      <c r="AD48" s="25"/>
      <c r="AE48" s="25"/>
      <c r="AF48" s="25"/>
      <c r="AG48" s="25"/>
      <c r="AH48" s="25"/>
      <c r="AI48" s="25"/>
      <c r="AJ48" s="25"/>
      <c r="AK48" s="25"/>
      <c r="AL48" s="25"/>
      <c r="AM48" s="25"/>
    </row>
    <row r="49" spans="1:39" ht="11.65" customHeight="1" thickBot="1" x14ac:dyDescent="0.2">
      <c r="A49" s="695" t="s">
        <v>574</v>
      </c>
      <c r="B49" s="692"/>
      <c r="C49" s="692"/>
      <c r="D49" s="692"/>
      <c r="E49" s="692"/>
      <c r="F49" s="692"/>
      <c r="G49" s="692"/>
      <c r="H49" s="692"/>
      <c r="I49" s="692"/>
      <c r="J49" s="692"/>
      <c r="K49" s="692"/>
      <c r="L49" s="692"/>
      <c r="M49" s="692"/>
      <c r="N49" s="692"/>
      <c r="O49" s="692"/>
      <c r="P49" s="692"/>
      <c r="Q49" s="693"/>
      <c r="R49" s="111"/>
      <c r="S49" s="111"/>
      <c r="T49" s="111"/>
      <c r="U49" s="111"/>
      <c r="W49" s="25"/>
      <c r="X49" s="25"/>
      <c r="Y49" s="25"/>
      <c r="Z49" s="25"/>
      <c r="AA49" s="25"/>
      <c r="AB49" s="25"/>
      <c r="AC49" s="25"/>
      <c r="AD49" s="25"/>
      <c r="AE49" s="25"/>
      <c r="AF49" s="25"/>
      <c r="AG49" s="25"/>
      <c r="AH49" s="25"/>
      <c r="AI49" s="25"/>
      <c r="AJ49" s="25"/>
      <c r="AK49" s="25"/>
      <c r="AL49" s="25"/>
      <c r="AM49" s="25"/>
    </row>
    <row r="50" spans="1:39" ht="11.65" customHeight="1" x14ac:dyDescent="0.15">
      <c r="A50" s="420"/>
      <c r="B50" s="10"/>
      <c r="C50" s="10"/>
      <c r="D50" s="10"/>
      <c r="E50" s="10"/>
      <c r="F50" s="10"/>
      <c r="G50" s="10"/>
      <c r="H50" s="10"/>
      <c r="I50" s="10"/>
      <c r="J50" s="10"/>
      <c r="K50" s="10"/>
      <c r="L50" s="10"/>
      <c r="M50" s="10"/>
      <c r="N50" s="10"/>
      <c r="O50" s="10"/>
      <c r="P50" s="10"/>
      <c r="Q50" s="10"/>
      <c r="R50" s="111"/>
      <c r="S50" s="111"/>
      <c r="T50" s="111"/>
      <c r="U50" s="111"/>
      <c r="W50" s="25"/>
      <c r="X50" s="25"/>
      <c r="Y50" s="25"/>
      <c r="Z50" s="25"/>
      <c r="AA50" s="25"/>
      <c r="AB50" s="25"/>
      <c r="AC50" s="25"/>
      <c r="AD50" s="25"/>
      <c r="AE50" s="25"/>
      <c r="AF50" s="25"/>
      <c r="AG50" s="25"/>
      <c r="AH50" s="25"/>
      <c r="AI50" s="25"/>
      <c r="AJ50" s="25"/>
      <c r="AK50" s="25"/>
      <c r="AL50" s="25"/>
      <c r="AM50" s="25"/>
    </row>
    <row r="51" spans="1:39" ht="11.65" customHeight="1" x14ac:dyDescent="0.15">
      <c r="A51" s="182" t="s">
        <v>23</v>
      </c>
      <c r="B51" s="10"/>
      <c r="C51" s="10"/>
      <c r="D51" s="936" t="s">
        <v>175</v>
      </c>
      <c r="E51" s="936"/>
      <c r="F51" s="936"/>
      <c r="G51" s="936"/>
      <c r="H51" s="936"/>
      <c r="I51" s="936"/>
      <c r="J51" s="936"/>
      <c r="K51" s="936"/>
      <c r="L51" s="936"/>
      <c r="M51" s="936"/>
      <c r="N51" s="10"/>
      <c r="O51" s="10"/>
      <c r="P51" s="10"/>
      <c r="Q51" s="10"/>
      <c r="R51" s="111"/>
      <c r="S51" s="111"/>
      <c r="T51" s="111"/>
      <c r="U51" s="111"/>
      <c r="W51" s="25"/>
      <c r="X51" s="25"/>
      <c r="Y51" s="25"/>
      <c r="Z51" s="25"/>
      <c r="AA51" s="25"/>
      <c r="AB51" s="25"/>
      <c r="AC51" s="25"/>
      <c r="AD51" s="25"/>
      <c r="AE51" s="25"/>
      <c r="AF51" s="25"/>
      <c r="AG51" s="25"/>
      <c r="AH51" s="25"/>
      <c r="AI51" s="25"/>
      <c r="AJ51" s="25"/>
      <c r="AK51" s="25"/>
      <c r="AL51" s="25"/>
      <c r="AM51" s="25"/>
    </row>
    <row r="52" spans="1:39" ht="11.65" customHeight="1" x14ac:dyDescent="0.15">
      <c r="A52" s="182"/>
      <c r="B52" s="10"/>
      <c r="C52" s="10"/>
      <c r="D52" s="40"/>
      <c r="E52" s="40"/>
      <c r="F52" s="40"/>
      <c r="G52" s="40"/>
      <c r="H52" s="40"/>
      <c r="I52" s="40"/>
      <c r="J52" s="40"/>
      <c r="K52" s="40"/>
      <c r="L52" s="40"/>
      <c r="M52" s="40"/>
      <c r="N52" s="10"/>
      <c r="O52" s="10"/>
      <c r="P52" s="10"/>
      <c r="Q52" s="10"/>
      <c r="R52" s="111"/>
      <c r="S52" s="111"/>
      <c r="T52" s="111"/>
      <c r="U52" s="111"/>
      <c r="V52" s="111"/>
      <c r="W52" s="297"/>
      <c r="X52" s="25"/>
      <c r="Y52" s="25"/>
      <c r="Z52" s="25"/>
      <c r="AA52" s="25"/>
      <c r="AB52" s="25"/>
      <c r="AC52" s="25"/>
      <c r="AD52" s="25"/>
      <c r="AE52" s="25"/>
      <c r="AF52" s="25"/>
      <c r="AG52" s="25"/>
      <c r="AH52" s="25"/>
      <c r="AI52" s="25"/>
      <c r="AJ52" s="25"/>
      <c r="AK52" s="25"/>
      <c r="AL52" s="25"/>
      <c r="AM52" s="25"/>
    </row>
    <row r="53" spans="1:39" s="174" customFormat="1" ht="14.25" x14ac:dyDescent="0.2">
      <c r="A53" s="183" t="s">
        <v>90</v>
      </c>
      <c r="B53" s="173"/>
      <c r="C53" s="173"/>
      <c r="D53" s="173"/>
      <c r="E53" s="173"/>
      <c r="F53" s="173"/>
      <c r="G53" s="173"/>
      <c r="H53" s="173"/>
      <c r="I53" s="173"/>
      <c r="J53" s="173"/>
      <c r="K53" s="173"/>
      <c r="L53" s="173"/>
      <c r="M53" s="173"/>
      <c r="N53" s="173"/>
      <c r="O53" s="173"/>
      <c r="P53" s="173"/>
      <c r="Q53" s="173"/>
      <c r="R53" s="232"/>
      <c r="S53" s="232"/>
      <c r="T53" s="232"/>
      <c r="U53" s="232"/>
    </row>
    <row r="54" spans="1:39" s="111" customFormat="1" ht="11.65" customHeight="1" x14ac:dyDescent="0.15">
      <c r="A54" s="293" t="s">
        <v>422</v>
      </c>
      <c r="B54" s="433"/>
      <c r="C54" s="433"/>
      <c r="D54" s="433"/>
      <c r="E54" s="433"/>
      <c r="F54" s="433"/>
      <c r="G54" s="433"/>
      <c r="H54" s="433"/>
      <c r="I54" s="433"/>
      <c r="J54" s="433"/>
      <c r="K54" s="433"/>
      <c r="L54" s="433"/>
      <c r="M54" s="433"/>
      <c r="N54" s="433"/>
      <c r="O54" s="433"/>
      <c r="P54" s="433"/>
      <c r="Q54" s="433"/>
    </row>
    <row r="55" spans="1:39" s="111" customFormat="1" ht="11.65" customHeight="1" x14ac:dyDescent="0.15">
      <c r="A55" s="293" t="s">
        <v>423</v>
      </c>
      <c r="B55" s="433"/>
      <c r="C55" s="433"/>
      <c r="D55" s="433"/>
      <c r="E55" s="433"/>
      <c r="F55" s="433"/>
      <c r="G55" s="433"/>
      <c r="H55" s="433"/>
      <c r="I55" s="433"/>
      <c r="J55" s="433"/>
      <c r="K55" s="433"/>
      <c r="L55" s="433"/>
      <c r="M55" s="433"/>
      <c r="N55" s="433"/>
      <c r="O55" s="433"/>
      <c r="P55" s="433"/>
      <c r="Q55" s="433"/>
    </row>
    <row r="56" spans="1:39" s="111" customFormat="1" ht="11.65" customHeight="1" x14ac:dyDescent="0.15">
      <c r="A56" s="293"/>
      <c r="B56" s="433"/>
      <c r="C56" s="433"/>
      <c r="D56" s="433"/>
      <c r="E56" s="433"/>
      <c r="F56" s="433"/>
      <c r="G56" s="433"/>
      <c r="H56" s="433"/>
      <c r="I56" s="433"/>
      <c r="J56" s="433"/>
      <c r="K56" s="433"/>
      <c r="L56" s="433"/>
      <c r="M56" s="433"/>
      <c r="N56" s="433"/>
      <c r="O56" s="433"/>
      <c r="P56" s="433"/>
      <c r="Q56" s="433"/>
    </row>
    <row r="57" spans="1:39" s="172" customFormat="1" ht="14.1" customHeight="1" x14ac:dyDescent="0.2">
      <c r="A57" s="183" t="s">
        <v>178</v>
      </c>
      <c r="B57" s="183"/>
      <c r="C57" s="183"/>
      <c r="D57" s="183"/>
      <c r="E57" s="183"/>
      <c r="F57" s="183"/>
      <c r="G57" s="183"/>
      <c r="H57" s="183"/>
      <c r="I57" s="183"/>
      <c r="J57" s="183"/>
      <c r="K57" s="183"/>
      <c r="L57" s="183"/>
      <c r="M57" s="183"/>
      <c r="N57" s="175"/>
      <c r="O57" s="175"/>
      <c r="P57" s="175"/>
      <c r="Q57" s="175"/>
    </row>
    <row r="58" spans="1:39" s="111" customFormat="1" ht="11.65" customHeight="1" x14ac:dyDescent="0.15">
      <c r="A58" s="42" t="s">
        <v>424</v>
      </c>
      <c r="B58" s="434"/>
      <c r="C58" s="434"/>
      <c r="D58" s="434"/>
      <c r="E58" s="434"/>
      <c r="F58" s="434"/>
      <c r="G58" s="434"/>
      <c r="H58" s="434"/>
      <c r="I58" s="434"/>
      <c r="J58" s="434"/>
      <c r="K58" s="434"/>
      <c r="L58" s="434"/>
      <c r="M58" s="434"/>
      <c r="N58" s="434"/>
      <c r="O58" s="434"/>
      <c r="P58" s="434"/>
      <c r="Q58" s="434"/>
    </row>
    <row r="59" spans="1:39" s="111" customFormat="1" ht="11.65" customHeight="1" x14ac:dyDescent="0.15">
      <c r="A59" s="42" t="s">
        <v>425</v>
      </c>
      <c r="B59" s="434"/>
      <c r="C59" s="434"/>
      <c r="D59" s="434"/>
      <c r="E59" s="434"/>
      <c r="F59" s="434"/>
      <c r="G59" s="434"/>
      <c r="H59" s="434"/>
      <c r="I59" s="434"/>
      <c r="J59" s="434"/>
      <c r="K59" s="434"/>
      <c r="L59" s="434"/>
      <c r="M59" s="434"/>
      <c r="N59" s="434"/>
      <c r="O59" s="434"/>
      <c r="P59" s="434"/>
      <c r="Q59" s="434"/>
    </row>
    <row r="60" spans="1:39" s="111" customFormat="1" ht="11.65" customHeight="1" x14ac:dyDescent="0.15">
      <c r="A60" s="42" t="s">
        <v>427</v>
      </c>
      <c r="B60" s="434"/>
      <c r="C60" s="434"/>
      <c r="D60" s="434"/>
      <c r="E60" s="434"/>
      <c r="F60" s="434"/>
      <c r="G60" s="434"/>
      <c r="H60" s="434"/>
      <c r="I60" s="434"/>
      <c r="J60" s="434"/>
      <c r="K60" s="434"/>
      <c r="L60" s="434"/>
      <c r="M60" s="434"/>
      <c r="N60" s="434"/>
      <c r="O60" s="434"/>
      <c r="P60" s="434"/>
      <c r="Q60" s="434"/>
    </row>
    <row r="61" spans="1:39" s="111" customFormat="1" ht="11.65" customHeight="1" x14ac:dyDescent="0.15">
      <c r="A61" s="111" t="s">
        <v>428</v>
      </c>
      <c r="B61" s="434"/>
      <c r="C61" s="434"/>
      <c r="D61" s="434"/>
      <c r="E61" s="434"/>
      <c r="F61" s="434"/>
      <c r="G61" s="434"/>
      <c r="H61" s="434"/>
      <c r="I61" s="434"/>
      <c r="J61" s="434"/>
      <c r="K61" s="434"/>
      <c r="L61" s="434"/>
      <c r="M61" s="434"/>
      <c r="N61" s="434"/>
      <c r="O61" s="434"/>
      <c r="P61" s="434"/>
      <c r="Q61" s="434"/>
    </row>
    <row r="62" spans="1:39" s="111" customFormat="1" ht="11.65" customHeight="1" x14ac:dyDescent="0.15">
      <c r="A62" s="42" t="s">
        <v>426</v>
      </c>
      <c r="B62" s="434"/>
      <c r="C62" s="434"/>
      <c r="D62" s="434"/>
      <c r="E62" s="434"/>
      <c r="F62" s="434"/>
      <c r="G62" s="434"/>
      <c r="H62" s="434"/>
      <c r="I62" s="434"/>
      <c r="J62" s="434"/>
      <c r="K62" s="434"/>
      <c r="L62" s="434"/>
      <c r="M62" s="434"/>
      <c r="N62" s="434"/>
      <c r="O62" s="434"/>
      <c r="P62" s="434"/>
      <c r="Q62" s="434"/>
    </row>
    <row r="63" spans="1:39" s="111" customFormat="1" ht="11.65" customHeight="1" x14ac:dyDescent="0.15">
      <c r="A63" s="434"/>
      <c r="B63" s="434"/>
      <c r="C63" s="434"/>
      <c r="D63" s="434"/>
      <c r="E63" s="434"/>
      <c r="F63" s="434"/>
      <c r="G63" s="434"/>
      <c r="H63" s="434"/>
      <c r="I63" s="434"/>
      <c r="J63" s="434"/>
      <c r="K63" s="434"/>
      <c r="L63" s="434"/>
      <c r="M63" s="434"/>
      <c r="N63" s="434"/>
      <c r="O63" s="434"/>
      <c r="P63" s="434"/>
      <c r="Q63" s="434"/>
    </row>
    <row r="64" spans="1:39" s="172" customFormat="1" ht="14.1" customHeight="1" x14ac:dyDescent="0.2">
      <c r="A64" s="183" t="s">
        <v>91</v>
      </c>
      <c r="B64" s="183"/>
      <c r="C64" s="183"/>
      <c r="D64" s="183"/>
      <c r="E64" s="183"/>
      <c r="F64" s="183"/>
      <c r="G64" s="183"/>
      <c r="H64" s="183"/>
      <c r="I64" s="183"/>
      <c r="J64" s="183"/>
      <c r="K64" s="183"/>
      <c r="L64" s="183"/>
      <c r="M64" s="183"/>
      <c r="N64" s="175"/>
      <c r="O64" s="175"/>
      <c r="P64" s="175"/>
      <c r="Q64" s="175"/>
    </row>
    <row r="65" spans="1:17" s="111" customFormat="1" ht="12.75" x14ac:dyDescent="0.2">
      <c r="A65" s="20" t="s">
        <v>139</v>
      </c>
      <c r="B65" s="234"/>
      <c r="C65" s="234"/>
      <c r="D65" s="234"/>
      <c r="E65" s="234"/>
      <c r="F65" s="234"/>
      <c r="G65" s="234"/>
      <c r="H65" s="234"/>
      <c r="I65" s="234"/>
      <c r="J65" s="234"/>
      <c r="K65" s="234"/>
      <c r="L65" s="234"/>
      <c r="M65" s="234"/>
    </row>
    <row r="66" spans="1:17" s="111" customFormat="1" ht="12.75" x14ac:dyDescent="0.2">
      <c r="A66" s="233"/>
      <c r="B66" s="234"/>
      <c r="C66" s="234"/>
      <c r="D66" s="234"/>
      <c r="E66" s="234"/>
      <c r="F66" s="234"/>
      <c r="G66" s="234"/>
      <c r="H66" s="234"/>
      <c r="I66" s="234"/>
      <c r="J66" s="234"/>
      <c r="K66" s="234"/>
      <c r="L66" s="234"/>
      <c r="M66" s="234"/>
    </row>
    <row r="67" spans="1:17" s="172" customFormat="1" ht="14.25" x14ac:dyDescent="0.2">
      <c r="A67" s="195" t="s">
        <v>92</v>
      </c>
      <c r="B67" s="195"/>
      <c r="C67" s="195"/>
      <c r="D67" s="195"/>
      <c r="E67" s="195"/>
      <c r="F67" s="195"/>
      <c r="G67" s="195"/>
      <c r="H67" s="195"/>
      <c r="I67" s="195"/>
      <c r="J67" s="195"/>
      <c r="K67" s="195"/>
      <c r="L67" s="195"/>
      <c r="M67" s="195"/>
      <c r="N67" s="196"/>
      <c r="O67" s="196"/>
      <c r="P67" s="196"/>
      <c r="Q67" s="197"/>
    </row>
    <row r="68" spans="1:17" s="111" customFormat="1" ht="11.65" customHeight="1" x14ac:dyDescent="0.15">
      <c r="A68" s="233" t="s">
        <v>446</v>
      </c>
    </row>
    <row r="69" spans="1:17" s="111" customFormat="1" ht="11.65" customHeight="1" x14ac:dyDescent="0.15">
      <c r="A69" s="122" t="s">
        <v>133</v>
      </c>
    </row>
    <row r="70" spans="1:17" s="111" customFormat="1" ht="11.65" customHeight="1" x14ac:dyDescent="0.15">
      <c r="A70" s="425" t="s">
        <v>179</v>
      </c>
      <c r="B70" s="425"/>
      <c r="C70" s="235"/>
      <c r="D70" s="235"/>
      <c r="E70" s="235"/>
      <c r="F70" s="235"/>
      <c r="G70" s="235"/>
      <c r="H70" s="235"/>
      <c r="I70" s="235"/>
      <c r="J70" s="235"/>
      <c r="K70" s="235"/>
      <c r="L70" s="235"/>
      <c r="M70" s="235"/>
      <c r="N70" s="235"/>
      <c r="O70" s="235"/>
      <c r="P70" s="235"/>
      <c r="Q70" s="235"/>
    </row>
    <row r="71" spans="1:17" s="111" customFormat="1" ht="11.65" customHeight="1" x14ac:dyDescent="0.2">
      <c r="A71" s="612"/>
      <c r="B71" s="613"/>
      <c r="C71" s="613"/>
      <c r="D71" s="613"/>
      <c r="E71" s="613"/>
      <c r="F71" s="613"/>
      <c r="G71" s="613"/>
      <c r="H71" s="613"/>
      <c r="I71" s="235"/>
      <c r="J71" s="235"/>
      <c r="K71" s="235"/>
      <c r="L71" s="235"/>
      <c r="M71" s="235"/>
      <c r="N71" s="235"/>
      <c r="O71" s="235"/>
      <c r="P71" s="235"/>
      <c r="Q71" s="235"/>
    </row>
    <row r="72" spans="1:17" s="172" customFormat="1" ht="14.25" x14ac:dyDescent="0.2">
      <c r="A72" s="184" t="s">
        <v>93</v>
      </c>
      <c r="B72" s="170"/>
      <c r="C72" s="150"/>
      <c r="D72" s="150"/>
      <c r="E72" s="170"/>
      <c r="F72" s="170"/>
      <c r="G72" s="170"/>
      <c r="H72" s="170"/>
      <c r="I72" s="170"/>
      <c r="J72" s="170"/>
      <c r="K72" s="170"/>
      <c r="L72" s="170"/>
      <c r="M72" s="170"/>
      <c r="N72" s="170"/>
      <c r="O72" s="170"/>
      <c r="P72" s="170"/>
      <c r="Q72" s="170"/>
    </row>
    <row r="73" spans="1:17" ht="11.65" customHeight="1" x14ac:dyDescent="0.15">
      <c r="A73" s="181" t="s">
        <v>108</v>
      </c>
      <c r="B73" s="10"/>
      <c r="C73" s="10"/>
      <c r="D73" s="10"/>
      <c r="E73" s="10"/>
      <c r="F73" s="10"/>
      <c r="G73" s="10"/>
      <c r="H73" s="10"/>
      <c r="I73" s="10"/>
      <c r="J73" s="10"/>
      <c r="K73" s="10"/>
      <c r="L73" s="10"/>
      <c r="M73" s="10"/>
      <c r="N73" s="10"/>
      <c r="O73" s="10"/>
      <c r="P73" s="10"/>
      <c r="Q73" s="10"/>
    </row>
    <row r="74" spans="1:17" ht="11.65" customHeight="1" x14ac:dyDescent="0.15">
      <c r="A74" s="182" t="s">
        <v>130</v>
      </c>
      <c r="B74" s="10"/>
      <c r="C74" s="10"/>
      <c r="D74" s="10"/>
      <c r="E74" s="10"/>
      <c r="F74" s="10"/>
      <c r="G74" s="10"/>
      <c r="H74" s="10"/>
      <c r="I74" s="10"/>
      <c r="J74" s="10"/>
      <c r="K74" s="10"/>
      <c r="L74" s="10"/>
      <c r="M74" s="10"/>
      <c r="N74" s="10"/>
      <c r="O74" s="10"/>
      <c r="P74" s="10"/>
      <c r="Q74" s="10"/>
    </row>
    <row r="75" spans="1:17" ht="11.65" customHeight="1" x14ac:dyDescent="0.15">
      <c r="A75" s="182" t="s">
        <v>109</v>
      </c>
      <c r="B75" s="10"/>
      <c r="C75" s="10"/>
      <c r="D75" s="10"/>
      <c r="E75" s="10"/>
      <c r="F75" s="10"/>
      <c r="G75" s="10"/>
      <c r="H75" s="10"/>
      <c r="I75" s="10"/>
      <c r="J75" s="10"/>
      <c r="K75" s="10"/>
      <c r="L75" s="10"/>
      <c r="M75" s="10"/>
      <c r="N75" s="10"/>
      <c r="O75" s="10"/>
      <c r="P75" s="10"/>
      <c r="Q75" s="10"/>
    </row>
    <row r="76" spans="1:17" ht="11.65" customHeight="1" x14ac:dyDescent="0.15">
      <c r="A76" s="182" t="s">
        <v>137</v>
      </c>
      <c r="B76" s="10"/>
      <c r="C76" s="10"/>
      <c r="D76" s="10"/>
      <c r="E76" s="10"/>
      <c r="F76" s="10"/>
      <c r="G76" s="10"/>
      <c r="H76" s="10"/>
      <c r="I76" s="10"/>
      <c r="J76" s="10"/>
      <c r="K76" s="10"/>
      <c r="L76" s="10"/>
      <c r="M76" s="10"/>
      <c r="N76" s="10"/>
      <c r="O76" s="10"/>
      <c r="P76" s="10"/>
      <c r="Q76" s="10"/>
    </row>
    <row r="77" spans="1:17" ht="11.65" customHeight="1" thickBot="1" x14ac:dyDescent="0.2">
      <c r="A77" s="182"/>
      <c r="B77" s="10"/>
      <c r="C77" s="10"/>
      <c r="D77" s="10"/>
      <c r="E77" s="10"/>
      <c r="F77" s="10"/>
      <c r="G77" s="10"/>
      <c r="H77" s="10"/>
      <c r="I77" s="10"/>
      <c r="J77" s="10"/>
      <c r="K77" s="10"/>
      <c r="L77" s="10"/>
      <c r="M77" s="10"/>
      <c r="N77" s="10"/>
      <c r="O77" s="10"/>
      <c r="P77" s="10"/>
      <c r="Q77" s="10"/>
    </row>
    <row r="78" spans="1:17" ht="11.65" customHeight="1" x14ac:dyDescent="0.15">
      <c r="A78" s="694" t="s">
        <v>575</v>
      </c>
      <c r="B78" s="683"/>
      <c r="C78" s="683"/>
      <c r="D78" s="683"/>
      <c r="E78" s="683"/>
      <c r="F78" s="683"/>
      <c r="G78" s="683"/>
      <c r="H78" s="683"/>
      <c r="I78" s="683"/>
      <c r="J78" s="683"/>
      <c r="K78" s="683"/>
      <c r="L78" s="683"/>
      <c r="M78" s="683"/>
      <c r="N78" s="683"/>
      <c r="O78" s="683"/>
      <c r="P78" s="683"/>
      <c r="Q78" s="684"/>
    </row>
    <row r="79" spans="1:17" ht="11.65" customHeight="1" thickBot="1" x14ac:dyDescent="0.2">
      <c r="A79" s="695" t="s">
        <v>574</v>
      </c>
      <c r="B79" s="692"/>
      <c r="C79" s="692"/>
      <c r="D79" s="692"/>
      <c r="E79" s="692"/>
      <c r="F79" s="692"/>
      <c r="G79" s="692"/>
      <c r="H79" s="692"/>
      <c r="I79" s="692"/>
      <c r="J79" s="692"/>
      <c r="K79" s="692"/>
      <c r="L79" s="692"/>
      <c r="M79" s="692"/>
      <c r="N79" s="692"/>
      <c r="O79" s="692"/>
      <c r="P79" s="692"/>
      <c r="Q79" s="693"/>
    </row>
    <row r="80" spans="1:17" ht="11.65" customHeight="1" x14ac:dyDescent="0.15">
      <c r="A80" s="420"/>
      <c r="B80" s="10"/>
      <c r="C80" s="10"/>
      <c r="D80" s="10"/>
      <c r="E80" s="10"/>
      <c r="F80" s="10"/>
      <c r="G80" s="10"/>
      <c r="H80" s="10"/>
      <c r="I80" s="10"/>
      <c r="J80" s="10"/>
      <c r="K80" s="10"/>
      <c r="L80" s="10"/>
      <c r="M80" s="10"/>
      <c r="N80" s="10"/>
      <c r="O80" s="10"/>
      <c r="P80" s="10"/>
      <c r="Q80" s="10"/>
    </row>
    <row r="81" spans="1:23" s="169" customFormat="1" ht="14.25" x14ac:dyDescent="0.2">
      <c r="A81" s="680" t="s">
        <v>479</v>
      </c>
      <c r="B81" s="168"/>
      <c r="C81" s="168"/>
      <c r="D81" s="168"/>
      <c r="E81" s="168"/>
      <c r="F81" s="168"/>
      <c r="G81" s="168"/>
      <c r="H81" s="168"/>
      <c r="I81" s="168"/>
      <c r="J81" s="168"/>
      <c r="K81" s="168"/>
      <c r="L81" s="168"/>
      <c r="M81" s="168"/>
      <c r="N81" s="168"/>
      <c r="O81" s="168"/>
      <c r="P81" s="168"/>
      <c r="Q81" s="168"/>
      <c r="R81" s="231"/>
      <c r="S81" s="231"/>
      <c r="T81" s="231"/>
      <c r="U81" s="231"/>
      <c r="V81" s="231"/>
      <c r="W81" s="231"/>
    </row>
    <row r="82" spans="1:23" ht="11.65" customHeight="1" x14ac:dyDescent="0.15">
      <c r="A82" s="178" t="s">
        <v>186</v>
      </c>
      <c r="B82" s="10"/>
      <c r="C82" s="10"/>
      <c r="D82" s="10"/>
      <c r="E82" s="10"/>
      <c r="F82" s="10"/>
      <c r="G82" s="10"/>
      <c r="H82" s="10"/>
      <c r="I82" s="10"/>
      <c r="J82" s="10"/>
      <c r="K82" s="10"/>
      <c r="L82" s="10"/>
      <c r="M82" s="10"/>
      <c r="N82" s="10"/>
      <c r="O82" s="10"/>
      <c r="P82" s="10"/>
      <c r="Q82" s="10"/>
      <c r="R82" s="111"/>
      <c r="S82" s="111"/>
      <c r="T82" s="111"/>
      <c r="U82" s="111"/>
      <c r="V82" s="111"/>
      <c r="W82" s="111"/>
    </row>
    <row r="83" spans="1:23" ht="11.65" customHeight="1" x14ac:dyDescent="0.2">
      <c r="A83" s="178" t="s">
        <v>473</v>
      </c>
      <c r="B83" s="10"/>
      <c r="C83" s="10"/>
      <c r="D83" s="10"/>
      <c r="E83" s="10"/>
      <c r="F83" s="10"/>
      <c r="G83" s="10"/>
      <c r="H83" s="10"/>
      <c r="I83" s="10"/>
      <c r="J83" s="10"/>
      <c r="K83" s="10"/>
      <c r="L83" s="10"/>
      <c r="M83" s="10"/>
      <c r="N83" s="10"/>
      <c r="O83" s="10"/>
      <c r="P83" s="10"/>
      <c r="Q83" s="10"/>
      <c r="R83"/>
      <c r="S83" s="111"/>
      <c r="T83" s="111"/>
      <c r="U83" s="111"/>
      <c r="V83" s="111"/>
      <c r="W83" s="111"/>
    </row>
    <row r="84" spans="1:23" ht="11.65" customHeight="1" x14ac:dyDescent="0.15">
      <c r="A84" s="178" t="s">
        <v>474</v>
      </c>
      <c r="B84" s="10"/>
      <c r="C84" s="10"/>
      <c r="D84" s="10"/>
      <c r="E84" s="10"/>
      <c r="F84" s="10"/>
      <c r="G84" s="10"/>
      <c r="H84" s="10"/>
      <c r="I84" s="10"/>
      <c r="J84" s="10"/>
      <c r="K84" s="10"/>
      <c r="L84" s="10"/>
      <c r="M84" s="10"/>
      <c r="N84" s="10"/>
      <c r="O84" s="10"/>
      <c r="P84" s="10"/>
      <c r="Q84" s="10"/>
      <c r="R84" s="111"/>
      <c r="S84" s="111"/>
      <c r="T84" s="111"/>
      <c r="U84" s="111"/>
      <c r="V84" s="111"/>
      <c r="W84" s="111"/>
    </row>
    <row r="85" spans="1:23" ht="11.65" customHeight="1" x14ac:dyDescent="0.15">
      <c r="A85" s="712" t="s">
        <v>475</v>
      </c>
      <c r="B85" s="713"/>
      <c r="C85" s="713"/>
      <c r="D85" s="713"/>
      <c r="E85" s="713"/>
      <c r="F85" s="713"/>
      <c r="G85" s="713"/>
      <c r="H85" s="713"/>
      <c r="I85" s="713"/>
      <c r="J85" s="713"/>
      <c r="K85" s="713"/>
      <c r="L85" s="713"/>
      <c r="M85" s="713"/>
      <c r="N85" s="713"/>
      <c r="O85" s="713"/>
      <c r="P85" s="713"/>
      <c r="Q85" s="10"/>
      <c r="R85" s="111"/>
      <c r="S85" s="111"/>
      <c r="T85" s="111"/>
      <c r="U85" s="111"/>
      <c r="V85" s="111"/>
      <c r="W85" s="111"/>
    </row>
    <row r="86" spans="1:23" ht="11.65" customHeight="1" x14ac:dyDescent="0.15">
      <c r="A86" s="714" t="s">
        <v>576</v>
      </c>
      <c r="B86" s="715"/>
      <c r="C86" s="715"/>
      <c r="D86" s="715"/>
      <c r="E86" s="715"/>
      <c r="F86" s="715"/>
      <c r="G86" s="715"/>
      <c r="H86" s="715"/>
      <c r="I86" s="715"/>
      <c r="J86" s="715"/>
      <c r="K86" s="715"/>
      <c r="L86" s="715"/>
      <c r="M86" s="715"/>
      <c r="N86" s="715"/>
      <c r="O86" s="715"/>
      <c r="P86" s="715"/>
      <c r="Q86" s="10"/>
      <c r="R86" s="111"/>
      <c r="S86" s="111"/>
      <c r="T86" s="111"/>
      <c r="U86" s="111"/>
      <c r="V86" s="111"/>
      <c r="W86" s="111"/>
    </row>
    <row r="87" spans="1:23" ht="11.65" customHeight="1" x14ac:dyDescent="0.15">
      <c r="A87" s="716" t="s">
        <v>88</v>
      </c>
      <c r="B87" s="715"/>
      <c r="C87" s="715"/>
      <c r="D87" s="715"/>
      <c r="E87" s="715"/>
      <c r="F87" s="715"/>
      <c r="G87" s="715"/>
      <c r="H87" s="715"/>
      <c r="I87" s="715"/>
      <c r="J87" s="715"/>
      <c r="K87" s="715"/>
      <c r="L87" s="715"/>
      <c r="M87" s="715"/>
      <c r="N87" s="715"/>
      <c r="O87" s="715"/>
      <c r="P87" s="715"/>
      <c r="Q87" s="10"/>
      <c r="R87" s="111"/>
      <c r="S87" s="111"/>
      <c r="T87" s="111"/>
      <c r="U87" s="111"/>
    </row>
    <row r="88" spans="1:23" ht="11.65" customHeight="1" x14ac:dyDescent="0.15">
      <c r="A88" s="420"/>
      <c r="B88" s="10"/>
      <c r="C88" s="10"/>
      <c r="D88" s="10"/>
      <c r="E88" s="10"/>
      <c r="F88" s="10"/>
      <c r="G88" s="10"/>
      <c r="H88" s="10"/>
      <c r="I88" s="10"/>
      <c r="J88" s="10"/>
      <c r="K88" s="10"/>
      <c r="L88" s="10"/>
      <c r="M88" s="10"/>
      <c r="N88" s="10"/>
      <c r="O88" s="10"/>
      <c r="P88" s="10"/>
      <c r="Q88" s="10"/>
      <c r="R88" s="111"/>
      <c r="S88" s="111"/>
      <c r="T88" s="111"/>
      <c r="U88" s="111"/>
    </row>
    <row r="89" spans="1:23" s="169" customFormat="1" ht="14.25" x14ac:dyDescent="0.2">
      <c r="A89" s="177" t="s">
        <v>141</v>
      </c>
      <c r="B89" s="170"/>
      <c r="C89" s="170"/>
      <c r="D89" s="170"/>
      <c r="E89" s="170"/>
      <c r="F89" s="170"/>
      <c r="G89" s="170"/>
      <c r="H89" s="170"/>
      <c r="I89" s="170"/>
      <c r="J89" s="170"/>
      <c r="K89" s="170"/>
      <c r="L89" s="170"/>
      <c r="M89" s="170"/>
      <c r="N89" s="170"/>
      <c r="O89" s="170"/>
      <c r="P89" s="170"/>
      <c r="Q89" s="170"/>
    </row>
    <row r="90" spans="1:23" ht="11.65" customHeight="1" x14ac:dyDescent="0.15">
      <c r="A90" s="178" t="s">
        <v>476</v>
      </c>
      <c r="B90" s="10"/>
      <c r="C90" s="10"/>
      <c r="D90" s="10"/>
      <c r="E90" s="10"/>
      <c r="F90" s="10"/>
      <c r="G90" s="10"/>
      <c r="H90" s="10"/>
      <c r="I90" s="10"/>
      <c r="J90" s="10"/>
      <c r="K90" s="10"/>
      <c r="L90" s="10"/>
      <c r="M90" s="10"/>
      <c r="N90" s="10"/>
      <c r="O90" s="10"/>
      <c r="P90" s="10"/>
      <c r="Q90" s="10"/>
    </row>
    <row r="91" spans="1:23" ht="11.65" customHeight="1" x14ac:dyDescent="0.15">
      <c r="A91" s="243" t="s">
        <v>477</v>
      </c>
      <c r="B91" s="10"/>
      <c r="C91" s="10"/>
      <c r="E91" s="10"/>
      <c r="F91" s="10"/>
      <c r="G91" s="10"/>
      <c r="H91" s="10"/>
      <c r="I91" s="10"/>
      <c r="J91" s="10"/>
      <c r="K91" s="10"/>
      <c r="L91" s="10"/>
      <c r="M91" s="10"/>
      <c r="N91" s="10"/>
      <c r="O91" s="10"/>
      <c r="P91" s="10"/>
      <c r="Q91" s="10"/>
    </row>
    <row r="92" spans="1:23" ht="11.65" customHeight="1" x14ac:dyDescent="0.15">
      <c r="A92" s="10" t="s">
        <v>478</v>
      </c>
      <c r="B92" s="10"/>
      <c r="C92" s="10"/>
      <c r="D92" s="10"/>
      <c r="E92" s="10"/>
      <c r="F92" s="10"/>
      <c r="G92" s="10"/>
      <c r="H92" s="10"/>
      <c r="I92" s="10"/>
      <c r="J92" s="10"/>
      <c r="K92" s="10"/>
      <c r="L92" s="10"/>
      <c r="M92" s="10"/>
      <c r="N92" s="10"/>
      <c r="O92" s="10"/>
      <c r="P92" s="10"/>
      <c r="Q92" s="10"/>
    </row>
    <row r="93" spans="1:23" ht="11.65" customHeight="1" x14ac:dyDescent="0.15">
      <c r="A93" s="185"/>
      <c r="B93" s="41"/>
      <c r="C93" s="41"/>
      <c r="D93" s="41"/>
      <c r="E93" s="41"/>
      <c r="F93" s="41"/>
      <c r="G93" s="41"/>
      <c r="H93" s="41"/>
      <c r="I93" s="41"/>
      <c r="J93" s="41"/>
      <c r="K93" s="41"/>
      <c r="L93" s="41"/>
      <c r="M93" s="41"/>
      <c r="N93" s="41"/>
      <c r="O93" s="41"/>
      <c r="P93" s="41"/>
      <c r="Q93" s="41"/>
    </row>
    <row r="94" spans="1:23" s="169" customFormat="1" ht="14.25" x14ac:dyDescent="0.2">
      <c r="A94" s="177" t="s">
        <v>180</v>
      </c>
      <c r="B94" s="170"/>
      <c r="C94" s="170"/>
      <c r="D94" s="170"/>
      <c r="E94" s="170"/>
      <c r="F94" s="170"/>
      <c r="G94" s="170"/>
      <c r="H94" s="170"/>
      <c r="I94" s="170"/>
      <c r="J94" s="170"/>
      <c r="K94" s="170"/>
      <c r="L94" s="170"/>
      <c r="M94" s="170"/>
      <c r="N94" s="170"/>
      <c r="O94" s="170"/>
      <c r="P94" s="170"/>
      <c r="Q94" s="170"/>
    </row>
    <row r="95" spans="1:23" s="425" customFormat="1" x14ac:dyDescent="0.15">
      <c r="A95" s="293" t="s">
        <v>436</v>
      </c>
      <c r="B95" s="612"/>
      <c r="C95" s="612"/>
      <c r="D95" s="612"/>
      <c r="E95" s="612"/>
      <c r="F95" s="612"/>
      <c r="G95" s="612"/>
      <c r="H95" s="612"/>
      <c r="I95" s="612"/>
      <c r="J95" s="612"/>
      <c r="K95" s="612"/>
      <c r="L95" s="612"/>
      <c r="M95" s="612"/>
      <c r="N95" s="612"/>
      <c r="O95" s="612"/>
      <c r="P95" s="612"/>
    </row>
    <row r="96" spans="1:23" s="111" customFormat="1" x14ac:dyDescent="0.15">
      <c r="A96" s="293" t="s">
        <v>437</v>
      </c>
    </row>
    <row r="97" spans="1:17" s="111" customFormat="1" x14ac:dyDescent="0.15">
      <c r="A97" s="293" t="s">
        <v>480</v>
      </c>
    </row>
    <row r="98" spans="1:17" s="111" customFormat="1" x14ac:dyDescent="0.15">
      <c r="A98" s="293" t="s">
        <v>577</v>
      </c>
    </row>
    <row r="99" spans="1:17" s="111" customFormat="1" x14ac:dyDescent="0.15">
      <c r="A99" s="293" t="s">
        <v>438</v>
      </c>
    </row>
    <row r="100" spans="1:17" s="111" customFormat="1" x14ac:dyDescent="0.15">
      <c r="A100" s="296"/>
    </row>
    <row r="101" spans="1:17" x14ac:dyDescent="0.15">
      <c r="A101" s="293" t="s">
        <v>578</v>
      </c>
    </row>
    <row r="102" spans="1:17" x14ac:dyDescent="0.15">
      <c r="A102" s="293" t="s">
        <v>439</v>
      </c>
    </row>
    <row r="103" spans="1:17" x14ac:dyDescent="0.15">
      <c r="A103" s="293" t="s">
        <v>440</v>
      </c>
    </row>
    <row r="104" spans="1:17" x14ac:dyDescent="0.15">
      <c r="A104" s="180" t="s">
        <v>442</v>
      </c>
    </row>
    <row r="105" spans="1:17" x14ac:dyDescent="0.15">
      <c r="A105" s="180" t="s">
        <v>481</v>
      </c>
    </row>
    <row r="106" spans="1:17" x14ac:dyDescent="0.15">
      <c r="A106" s="609" t="s">
        <v>441</v>
      </c>
    </row>
    <row r="108" spans="1:17" ht="14.25" x14ac:dyDescent="0.15">
      <c r="A108" s="177"/>
      <c r="B108" s="170"/>
      <c r="C108" s="170"/>
      <c r="D108" s="170"/>
      <c r="E108" s="170"/>
      <c r="F108" s="170"/>
      <c r="G108" s="170"/>
      <c r="H108" s="170"/>
      <c r="I108" s="170"/>
      <c r="J108" s="170"/>
      <c r="K108" s="170"/>
      <c r="L108" s="170"/>
      <c r="M108" s="170"/>
      <c r="N108" s="170"/>
      <c r="O108" s="170"/>
      <c r="P108" s="170"/>
      <c r="Q108" s="170"/>
    </row>
  </sheetData>
  <sheetProtection algorithmName="SHA-512" hashValue="XlFANZrW2j291Fk69FQPxFsFP6H+yhtLSTccpszlT9aRTCBH9+5UuY6TeI765bp5y9WEjpmeaZYijFXNO1nAhw==" saltValue="wALqWCO8j9qZroki4EFGBg==" spinCount="100000" sheet="1" objects="1" scenarios="1"/>
  <mergeCells count="1">
    <mergeCell ref="D51:M51"/>
  </mergeCells>
  <hyperlinks>
    <hyperlink ref="D51:M51" r:id="rId1" display="Subsidiespelregels ministerie van Economische Zaken en Klimaat | RVO.nl" xr:uid="{00000000-0004-0000-0100-000000000000}"/>
  </hyperlinks>
  <pageMargins left="0.23622047244094488" right="0.23622047244094488" top="0.74803149606299213" bottom="0.74803149606299213" header="0.31496062992125984" footer="0.31496062992125984"/>
  <pageSetup paperSize="9" scale="65"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rgb="FFFFFF00"/>
    <pageSetUpPr fitToPage="1"/>
  </sheetPr>
  <dimension ref="A1:I21"/>
  <sheetViews>
    <sheetView showGridLines="0" zoomScaleNormal="100" workbookViewId="0">
      <selection activeCell="C16" sqref="C16"/>
    </sheetView>
  </sheetViews>
  <sheetFormatPr defaultColWidth="8" defaultRowHeight="11.25" x14ac:dyDescent="0.15"/>
  <cols>
    <col min="1" max="1" width="27.5703125" style="29" bestFit="1" customWidth="1"/>
    <col min="2" max="3" width="49.7109375" style="29" customWidth="1"/>
    <col min="4" max="4" width="8" style="29" customWidth="1"/>
    <col min="5" max="16384" width="8" style="29"/>
  </cols>
  <sheetData>
    <row r="1" spans="1:9" x14ac:dyDescent="0.15">
      <c r="A1" s="26"/>
      <c r="B1" s="27"/>
      <c r="C1" s="28"/>
    </row>
    <row r="2" spans="1:9" ht="20.25" x14ac:dyDescent="0.15">
      <c r="A2" s="937" t="s">
        <v>485</v>
      </c>
      <c r="B2" s="937"/>
      <c r="C2" s="937"/>
      <c r="D2" s="30"/>
    </row>
    <row r="4" spans="1:9" x14ac:dyDescent="0.15">
      <c r="A4" s="32" t="s">
        <v>6</v>
      </c>
      <c r="B4" s="442" t="s">
        <v>58</v>
      </c>
      <c r="C4" s="33"/>
    </row>
    <row r="5" spans="1:9" x14ac:dyDescent="0.15">
      <c r="A5" s="32"/>
      <c r="B5" s="34"/>
      <c r="C5" s="33"/>
      <c r="D5" s="32"/>
    </row>
    <row r="6" spans="1:9" x14ac:dyDescent="0.15">
      <c r="A6" s="32" t="s">
        <v>57</v>
      </c>
      <c r="B6" s="443" t="s">
        <v>486</v>
      </c>
      <c r="C6" s="444"/>
      <c r="D6" s="32"/>
      <c r="E6" s="126"/>
      <c r="F6" s="126"/>
      <c r="G6" s="126"/>
    </row>
    <row r="7" spans="1:9" x14ac:dyDescent="0.15">
      <c r="A7" s="35" t="s">
        <v>3</v>
      </c>
      <c r="B7" s="472"/>
      <c r="C7" s="473"/>
      <c r="D7" s="32"/>
    </row>
    <row r="8" spans="1:9" ht="15" customHeight="1" x14ac:dyDescent="0.15">
      <c r="A8" s="32"/>
    </row>
    <row r="9" spans="1:9" ht="12.75" customHeight="1" x14ac:dyDescent="0.15">
      <c r="A9" s="32"/>
      <c r="B9" s="920" t="s">
        <v>608</v>
      </c>
      <c r="C9" s="921"/>
    </row>
    <row r="10" spans="1:9" ht="12.75" customHeight="1" x14ac:dyDescent="0.15">
      <c r="A10" s="32"/>
      <c r="B10" s="920" t="s">
        <v>607</v>
      </c>
      <c r="C10" s="921"/>
    </row>
    <row r="11" spans="1:9" ht="15" customHeight="1" x14ac:dyDescent="0.15">
      <c r="A11" s="32"/>
      <c r="B11" s="36" t="s">
        <v>7</v>
      </c>
      <c r="C11" s="36" t="s">
        <v>8</v>
      </c>
      <c r="D11" s="37"/>
    </row>
    <row r="12" spans="1:9" ht="15" customHeight="1" x14ac:dyDescent="0.15">
      <c r="A12" s="32"/>
      <c r="B12" s="474"/>
      <c r="C12" s="474"/>
      <c r="D12" s="920" t="s">
        <v>65</v>
      </c>
      <c r="E12" s="126"/>
    </row>
    <row r="13" spans="1:9" ht="15" customHeight="1" x14ac:dyDescent="0.15">
      <c r="A13" s="32" t="s">
        <v>4</v>
      </c>
      <c r="B13" s="464">
        <f>IFERROR(DATEDIF(Startdatum,Einddatum,"Y")+ (DATEDIF(Startdatum,Einddatum,"YD")/365),"")</f>
        <v>0</v>
      </c>
      <c r="C13" s="465" t="s">
        <v>43</v>
      </c>
      <c r="D13" s="39" t="str">
        <f>IF(B13&gt;7,"←Let op: maximale looptijd is 7 jaar","")</f>
        <v/>
      </c>
    </row>
    <row r="14" spans="1:9" x14ac:dyDescent="0.15">
      <c r="B14" s="426"/>
      <c r="C14" s="31"/>
      <c r="D14" s="38"/>
    </row>
    <row r="15" spans="1:9" ht="12.75" customHeight="1" x14ac:dyDescent="0.15">
      <c r="A15" s="545"/>
      <c r="B15" s="546" t="s">
        <v>44</v>
      </c>
      <c r="C15" s="546" t="s">
        <v>579</v>
      </c>
    </row>
    <row r="16" spans="1:9" x14ac:dyDescent="0.15">
      <c r="A16" s="544" t="s">
        <v>39</v>
      </c>
      <c r="B16" s="475"/>
      <c r="C16" s="475" t="s">
        <v>66</v>
      </c>
      <c r="I16" s="127"/>
    </row>
    <row r="17" spans="4:4" x14ac:dyDescent="0.15">
      <c r="D17" s="32"/>
    </row>
    <row r="18" spans="4:4" x14ac:dyDescent="0.15">
      <c r="D18" s="32"/>
    </row>
    <row r="21" spans="4:4" customFormat="1" ht="12.75" x14ac:dyDescent="0.2"/>
  </sheetData>
  <sheetProtection algorithmName="SHA-512" hashValue="zqAfc7CvWxPzYnSzaIDM6p5h46PG7XGGczcXlx7Y9MwBJXAsN/k/WtNRI4/4IuYHNF44N5Y7oFZjVaSKqJM0qw==" saltValue="MJX1FznE1RgLgWDhOG1Z+g==" spinCount="100000" sheet="1" selectLockedCells="1"/>
  <mergeCells count="1">
    <mergeCell ref="A2:C2"/>
  </mergeCells>
  <phoneticPr fontId="8" type="noConversion"/>
  <dataValidations xWindow="446" yWindow="262" count="3">
    <dataValidation type="date" operator="lessThan" allowBlank="1" showInputMessage="1" showErrorMessage="1" error="De looptijd van het project mag maximaal 7 jaar bedragen" sqref="C12" xr:uid="{00000000-0002-0000-0200-000001000000}">
      <formula1>DATE(YEAR(B12)+7,MONTH(B12),DAY(B12))</formula1>
    </dataValidation>
    <dataValidation allowBlank="1" showInputMessage="1" showErrorMessage="1" prompt="Het jaartal van de opgegeven datum wordt ook gebruikt als jaar 1 in de exploitatieberekening." sqref="B12" xr:uid="{4EC33D6C-DB5B-4A9B-864C-5BBB3D7FB7F4}"/>
    <dataValidation type="list" allowBlank="1" showInputMessage="1" showErrorMessage="1" sqref="C16" xr:uid="{2DC37304-F07A-4DD3-B722-728F0471D231}">
      <formula1>Organisatietype</formula1>
    </dataValidation>
  </dataValidations>
  <pageMargins left="0.39370078740157483" right="0.19685039370078741" top="0.19685039370078741" bottom="0.43307086614173229" header="0.47244094488188981" footer="0.11811023622047245"/>
  <pageSetup paperSize="9"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2">
    <tabColor rgb="FFFFFF00"/>
    <pageSetUpPr fitToPage="1"/>
  </sheetPr>
  <dimension ref="A1:Z247"/>
  <sheetViews>
    <sheetView showGridLines="0" topLeftCell="A42" zoomScale="80" zoomScaleNormal="80" zoomScaleSheetLayoutView="100" workbookViewId="0">
      <selection activeCell="D162" sqref="D162"/>
    </sheetView>
  </sheetViews>
  <sheetFormatPr defaultColWidth="8" defaultRowHeight="11.25" x14ac:dyDescent="0.15"/>
  <cols>
    <col min="1" max="1" width="2" style="69" customWidth="1"/>
    <col min="2" max="2" width="10" style="60" customWidth="1"/>
    <col min="3" max="3" width="9.28515625" style="60" customWidth="1"/>
    <col min="4" max="4" width="13.7109375" style="60" customWidth="1"/>
    <col min="5" max="5" width="26.28515625" style="60" customWidth="1"/>
    <col min="6" max="6" width="22.28515625" style="60" customWidth="1"/>
    <col min="7" max="7" width="14.7109375" style="60" customWidth="1"/>
    <col min="8" max="8" width="18.7109375" style="60" customWidth="1"/>
    <col min="9" max="9" width="16.28515625" style="83" customWidth="1"/>
    <col min="10" max="10" width="16.28515625" style="60" customWidth="1"/>
    <col min="11" max="11" width="16.5703125" style="62" customWidth="1"/>
    <col min="12" max="12" width="15.5703125" style="60" customWidth="1"/>
    <col min="13" max="13" width="14.28515625" style="60" customWidth="1"/>
    <col min="14" max="14" width="16.5703125" style="60" customWidth="1"/>
    <col min="15" max="15" width="15.5703125" style="60" customWidth="1"/>
    <col min="16" max="16" width="13.28515625" style="60" customWidth="1"/>
    <col min="17" max="17" width="17.5703125" style="60" customWidth="1"/>
    <col min="18" max="20" width="17.28515625" style="60" customWidth="1"/>
    <col min="21" max="21" width="19.5703125" style="60" customWidth="1"/>
    <col min="22" max="22" width="13.28515625" style="60" customWidth="1"/>
    <col min="23" max="23" width="14.7109375" style="60" customWidth="1"/>
    <col min="24" max="16384" width="8" style="60"/>
  </cols>
  <sheetData>
    <row r="1" spans="1:17" x14ac:dyDescent="0.15">
      <c r="A1" s="59"/>
      <c r="C1" s="59"/>
      <c r="D1" s="59"/>
      <c r="E1" s="59"/>
      <c r="F1" s="61" t="str">
        <f>IF(Project!B4="[Dit veld wordt door RVO ingevuld]","",Project!B4)</f>
        <v/>
      </c>
      <c r="G1" s="61"/>
      <c r="H1" s="61"/>
      <c r="I1" s="59"/>
    </row>
    <row r="2" spans="1:17" ht="20.25" x14ac:dyDescent="0.3">
      <c r="A2" s="63"/>
      <c r="B2" s="304" t="s">
        <v>79</v>
      </c>
      <c r="C2" s="63"/>
      <c r="D2" s="63"/>
      <c r="E2" s="63"/>
      <c r="F2" s="63"/>
      <c r="G2" s="63"/>
      <c r="H2" s="63"/>
      <c r="I2" s="64"/>
    </row>
    <row r="3" spans="1:17" x14ac:dyDescent="0.15">
      <c r="A3" s="59"/>
      <c r="B3" s="59"/>
      <c r="C3" s="59"/>
      <c r="D3" s="59"/>
      <c r="E3" s="59"/>
      <c r="F3" s="59"/>
      <c r="G3" s="59"/>
      <c r="H3" s="59"/>
      <c r="I3" s="65"/>
      <c r="K3" s="66"/>
    </row>
    <row r="4" spans="1:17" s="205" customFormat="1" ht="14.25" x14ac:dyDescent="0.2">
      <c r="A4" s="210"/>
      <c r="B4" s="211" t="s">
        <v>125</v>
      </c>
      <c r="C4" s="211"/>
      <c r="D4" s="212"/>
      <c r="E4" s="212"/>
      <c r="F4" s="212"/>
      <c r="G4" s="212"/>
      <c r="H4" s="212"/>
      <c r="I4" s="212"/>
      <c r="J4" s="212"/>
      <c r="K4" s="277"/>
      <c r="L4" s="278"/>
      <c r="M4" s="278"/>
      <c r="N4" s="278"/>
      <c r="O4" s="278"/>
      <c r="P4" s="278"/>
      <c r="Q4" s="278"/>
    </row>
    <row r="5" spans="1:17" ht="11.25" customHeight="1" thickBot="1" x14ac:dyDescent="0.2">
      <c r="A5" s="59"/>
      <c r="B5" s="68"/>
      <c r="C5" s="68"/>
      <c r="D5" s="63"/>
      <c r="E5" s="63"/>
      <c r="F5" s="63"/>
      <c r="G5" s="63"/>
      <c r="H5" s="63"/>
      <c r="I5" s="63"/>
      <c r="K5" s="67"/>
    </row>
    <row r="6" spans="1:17" ht="13.5" customHeight="1" x14ac:dyDescent="0.15">
      <c r="A6" s="59"/>
      <c r="B6" s="697" t="s">
        <v>124</v>
      </c>
      <c r="C6" s="697"/>
      <c r="D6" s="698"/>
      <c r="E6" s="447">
        <f>Project!$B$16</f>
        <v>0</v>
      </c>
      <c r="F6" s="448"/>
      <c r="G6" s="448"/>
      <c r="H6" s="448"/>
      <c r="I6" s="449"/>
      <c r="K6" s="67"/>
    </row>
    <row r="7" spans="1:17" ht="13.5" customHeight="1" x14ac:dyDescent="0.15">
      <c r="A7" s="59"/>
      <c r="B7" s="699" t="s">
        <v>14</v>
      </c>
      <c r="C7" s="699"/>
      <c r="D7" s="700"/>
      <c r="E7" s="450">
        <f>Project!$B$7</f>
        <v>0</v>
      </c>
      <c r="F7" s="451"/>
      <c r="G7" s="451"/>
      <c r="H7" s="451"/>
      <c r="I7" s="452"/>
    </row>
    <row r="8" spans="1:17" ht="13.5" customHeight="1" x14ac:dyDescent="0.2">
      <c r="A8" s="59"/>
      <c r="B8" s="701" t="s">
        <v>107</v>
      </c>
      <c r="C8" s="702"/>
      <c r="D8" s="703"/>
      <c r="E8" s="539" t="s">
        <v>66</v>
      </c>
      <c r="F8" s="646"/>
      <c r="G8" s="646"/>
      <c r="H8" s="646"/>
      <c r="I8" s="647"/>
      <c r="J8" s="311"/>
      <c r="K8" s="2"/>
    </row>
    <row r="9" spans="1:17" ht="13.5" customHeight="1" x14ac:dyDescent="0.2">
      <c r="A9" s="59"/>
      <c r="B9" s="704" t="s">
        <v>25</v>
      </c>
      <c r="C9" s="705"/>
      <c r="D9" s="700"/>
      <c r="E9" s="450" t="s">
        <v>17</v>
      </c>
      <c r="F9" s="451"/>
      <c r="G9" s="451"/>
      <c r="H9" s="451"/>
      <c r="I9" s="452"/>
      <c r="J9" s="2"/>
      <c r="K9" s="2"/>
      <c r="L9" s="2"/>
      <c r="M9" s="2"/>
    </row>
    <row r="10" spans="1:17" ht="13.5" customHeight="1" thickBot="1" x14ac:dyDescent="0.25">
      <c r="A10" s="59"/>
      <c r="B10" s="699" t="s">
        <v>84</v>
      </c>
      <c r="C10" s="699"/>
      <c r="D10" s="706"/>
      <c r="E10" s="696" t="s">
        <v>486</v>
      </c>
      <c r="F10" s="453"/>
      <c r="G10" s="453"/>
      <c r="H10" s="453"/>
      <c r="I10" s="454"/>
      <c r="J10" s="2"/>
      <c r="K10" s="2"/>
    </row>
    <row r="11" spans="1:17" ht="11.25" customHeight="1" x14ac:dyDescent="0.15">
      <c r="E11" s="384"/>
      <c r="F11" s="384"/>
      <c r="G11" s="384"/>
      <c r="H11" s="384"/>
      <c r="I11" s="384"/>
      <c r="J11" s="384"/>
    </row>
    <row r="12" spans="1:17" x14ac:dyDescent="0.15">
      <c r="B12" s="70"/>
      <c r="C12" s="71"/>
      <c r="D12" s="70"/>
      <c r="E12" s="384"/>
      <c r="F12" s="384"/>
      <c r="G12" s="384"/>
      <c r="H12" s="384"/>
      <c r="I12" s="384"/>
      <c r="J12" s="384"/>
    </row>
    <row r="13" spans="1:17" s="205" customFormat="1" ht="14.25" x14ac:dyDescent="0.2">
      <c r="A13" s="199"/>
      <c r="B13" s="200" t="s">
        <v>9</v>
      </c>
      <c r="C13" s="201"/>
      <c r="D13" s="202"/>
      <c r="E13" s="202"/>
      <c r="F13" s="202"/>
      <c r="G13" s="202"/>
      <c r="H13" s="202"/>
      <c r="I13" s="203"/>
      <c r="J13" s="203"/>
      <c r="K13" s="203"/>
      <c r="L13" s="203"/>
      <c r="M13" s="203"/>
      <c r="N13" s="203"/>
      <c r="O13" s="203"/>
      <c r="P13" s="203"/>
      <c r="Q13" s="203"/>
    </row>
    <row r="14" spans="1:17" x14ac:dyDescent="0.15">
      <c r="D14" s="70"/>
      <c r="E14" s="70"/>
      <c r="F14" s="70"/>
      <c r="G14" s="70"/>
      <c r="H14" s="70"/>
      <c r="I14" s="72"/>
      <c r="J14" s="72"/>
      <c r="K14" s="72"/>
      <c r="L14" s="72"/>
      <c r="M14" s="72"/>
      <c r="N14" s="72"/>
      <c r="O14" s="72"/>
      <c r="P14" s="72"/>
    </row>
    <row r="15" spans="1:17" s="205" customFormat="1" ht="14.25" x14ac:dyDescent="0.2">
      <c r="A15" s="199"/>
      <c r="B15" s="200" t="s">
        <v>102</v>
      </c>
      <c r="C15" s="200"/>
      <c r="D15" s="200"/>
      <c r="E15" s="200"/>
      <c r="F15" s="200"/>
      <c r="G15" s="200"/>
      <c r="H15" s="200"/>
      <c r="I15" s="200"/>
      <c r="J15" s="200"/>
      <c r="K15" s="200"/>
      <c r="L15" s="200"/>
      <c r="M15" s="200"/>
      <c r="N15" s="200"/>
      <c r="O15" s="200"/>
      <c r="P15" s="200"/>
      <c r="Q15" s="200"/>
    </row>
    <row r="16" spans="1:17" x14ac:dyDescent="0.15">
      <c r="B16" s="717" t="s">
        <v>123</v>
      </c>
      <c r="C16" s="718"/>
      <c r="D16" s="719"/>
      <c r="E16" s="719"/>
      <c r="F16" s="81"/>
      <c r="G16" s="81"/>
      <c r="H16" s="81"/>
      <c r="I16" s="72"/>
      <c r="J16" s="72"/>
      <c r="K16" s="72"/>
      <c r="L16" s="72"/>
      <c r="M16" s="72"/>
      <c r="N16" s="72"/>
      <c r="O16" s="72"/>
      <c r="P16" s="72"/>
    </row>
    <row r="17" spans="1:17" s="266" customFormat="1" ht="22.5" x14ac:dyDescent="0.2">
      <c r="A17" s="265"/>
      <c r="B17" s="866" t="s">
        <v>138</v>
      </c>
      <c r="C17" s="868" t="s">
        <v>15</v>
      </c>
      <c r="D17" s="871"/>
      <c r="E17" s="869"/>
      <c r="F17" s="871" t="s">
        <v>21</v>
      </c>
      <c r="G17" s="870"/>
      <c r="H17" s="867" t="s">
        <v>67</v>
      </c>
      <c r="I17" s="267" t="s">
        <v>68</v>
      </c>
      <c r="J17" s="938"/>
      <c r="K17" s="939"/>
      <c r="L17" s="939"/>
      <c r="M17" s="939"/>
      <c r="N17" s="939"/>
      <c r="O17" s="939"/>
      <c r="P17" s="940"/>
      <c r="Q17" s="267" t="s">
        <v>89</v>
      </c>
    </row>
    <row r="18" spans="1:17" ht="14.1" customHeight="1" x14ac:dyDescent="0.15">
      <c r="B18" s="509"/>
      <c r="C18" s="510"/>
      <c r="D18" s="512"/>
      <c r="E18" s="511"/>
      <c r="F18" s="512"/>
      <c r="G18" s="511"/>
      <c r="H18" s="513">
        <v>60</v>
      </c>
      <c r="I18" s="509"/>
      <c r="J18" s="510"/>
      <c r="K18" s="512"/>
      <c r="L18" s="512"/>
      <c r="M18" s="512"/>
      <c r="N18" s="512"/>
      <c r="O18" s="512"/>
      <c r="P18" s="511"/>
      <c r="Q18" s="455">
        <f t="shared" ref="Q18:Q40" si="0">H18*I18</f>
        <v>0</v>
      </c>
    </row>
    <row r="19" spans="1:17" ht="14.1" customHeight="1" x14ac:dyDescent="0.15">
      <c r="B19" s="509"/>
      <c r="C19" s="510"/>
      <c r="D19" s="512"/>
      <c r="E19" s="511"/>
      <c r="F19" s="512"/>
      <c r="G19" s="511"/>
      <c r="H19" s="513">
        <v>60</v>
      </c>
      <c r="I19" s="509"/>
      <c r="J19" s="510"/>
      <c r="K19" s="512"/>
      <c r="L19" s="512"/>
      <c r="M19" s="512"/>
      <c r="N19" s="512"/>
      <c r="O19" s="512"/>
      <c r="P19" s="511"/>
      <c r="Q19" s="455">
        <f t="shared" si="0"/>
        <v>0</v>
      </c>
    </row>
    <row r="20" spans="1:17" ht="14.1" customHeight="1" x14ac:dyDescent="0.15">
      <c r="B20" s="509"/>
      <c r="C20" s="514"/>
      <c r="D20" s="872"/>
      <c r="E20" s="515"/>
      <c r="F20" s="512"/>
      <c r="G20" s="511"/>
      <c r="H20" s="513">
        <v>60</v>
      </c>
      <c r="I20" s="509"/>
      <c r="J20" s="510"/>
      <c r="K20" s="512"/>
      <c r="L20" s="512"/>
      <c r="M20" s="512"/>
      <c r="N20" s="512"/>
      <c r="O20" s="512"/>
      <c r="P20" s="511"/>
      <c r="Q20" s="455">
        <f t="shared" si="0"/>
        <v>0</v>
      </c>
    </row>
    <row r="21" spans="1:17" ht="14.1" customHeight="1" x14ac:dyDescent="0.15">
      <c r="B21" s="509"/>
      <c r="C21" s="510"/>
      <c r="D21" s="512"/>
      <c r="E21" s="511"/>
      <c r="F21" s="512"/>
      <c r="G21" s="511"/>
      <c r="H21" s="513">
        <v>60</v>
      </c>
      <c r="I21" s="509"/>
      <c r="J21" s="510"/>
      <c r="K21" s="512"/>
      <c r="L21" s="512"/>
      <c r="M21" s="512"/>
      <c r="N21" s="512"/>
      <c r="O21" s="512"/>
      <c r="P21" s="511"/>
      <c r="Q21" s="455">
        <f t="shared" si="0"/>
        <v>0</v>
      </c>
    </row>
    <row r="22" spans="1:17" ht="14.1" customHeight="1" x14ac:dyDescent="0.15">
      <c r="B22" s="509"/>
      <c r="C22" s="510"/>
      <c r="D22" s="512"/>
      <c r="E22" s="511"/>
      <c r="F22" s="512"/>
      <c r="G22" s="511"/>
      <c r="H22" s="513">
        <v>60</v>
      </c>
      <c r="I22" s="509"/>
      <c r="J22" s="510"/>
      <c r="K22" s="512"/>
      <c r="L22" s="512"/>
      <c r="M22" s="512"/>
      <c r="N22" s="512"/>
      <c r="O22" s="512"/>
      <c r="P22" s="511"/>
      <c r="Q22" s="455">
        <f t="shared" si="0"/>
        <v>0</v>
      </c>
    </row>
    <row r="23" spans="1:17" ht="14.1" customHeight="1" x14ac:dyDescent="0.15">
      <c r="B23" s="509"/>
      <c r="C23" s="510"/>
      <c r="D23" s="512"/>
      <c r="E23" s="511"/>
      <c r="F23" s="512"/>
      <c r="G23" s="511"/>
      <c r="H23" s="513">
        <v>60</v>
      </c>
      <c r="I23" s="509"/>
      <c r="J23" s="510"/>
      <c r="K23" s="512"/>
      <c r="L23" s="512"/>
      <c r="M23" s="512"/>
      <c r="N23" s="512"/>
      <c r="O23" s="512"/>
      <c r="P23" s="511"/>
      <c r="Q23" s="455">
        <f t="shared" si="0"/>
        <v>0</v>
      </c>
    </row>
    <row r="24" spans="1:17" ht="14.1" customHeight="1" x14ac:dyDescent="0.15">
      <c r="B24" s="509"/>
      <c r="C24" s="510"/>
      <c r="D24" s="512"/>
      <c r="E24" s="511"/>
      <c r="F24" s="512"/>
      <c r="G24" s="511"/>
      <c r="H24" s="513">
        <v>60</v>
      </c>
      <c r="I24" s="509"/>
      <c r="J24" s="510"/>
      <c r="K24" s="512"/>
      <c r="L24" s="512"/>
      <c r="M24" s="512"/>
      <c r="N24" s="512"/>
      <c r="O24" s="512"/>
      <c r="P24" s="511"/>
      <c r="Q24" s="455">
        <f t="shared" si="0"/>
        <v>0</v>
      </c>
    </row>
    <row r="25" spans="1:17" ht="14.1" customHeight="1" x14ac:dyDescent="0.15">
      <c r="B25" s="509"/>
      <c r="C25" s="510"/>
      <c r="D25" s="512"/>
      <c r="E25" s="511"/>
      <c r="F25" s="512"/>
      <c r="G25" s="511"/>
      <c r="H25" s="513">
        <v>60</v>
      </c>
      <c r="I25" s="509"/>
      <c r="J25" s="510"/>
      <c r="K25" s="512"/>
      <c r="L25" s="512"/>
      <c r="M25" s="512"/>
      <c r="N25" s="512"/>
      <c r="O25" s="512"/>
      <c r="P25" s="511"/>
      <c r="Q25" s="455">
        <f t="shared" si="0"/>
        <v>0</v>
      </c>
    </row>
    <row r="26" spans="1:17" ht="14.1" customHeight="1" x14ac:dyDescent="0.15">
      <c r="B26" s="509"/>
      <c r="C26" s="510"/>
      <c r="D26" s="512"/>
      <c r="E26" s="511"/>
      <c r="F26" s="512"/>
      <c r="G26" s="511"/>
      <c r="H26" s="513">
        <v>60</v>
      </c>
      <c r="I26" s="509"/>
      <c r="J26" s="510"/>
      <c r="K26" s="512"/>
      <c r="L26" s="512"/>
      <c r="M26" s="512"/>
      <c r="N26" s="512"/>
      <c r="O26" s="512"/>
      <c r="P26" s="511"/>
      <c r="Q26" s="455">
        <f t="shared" si="0"/>
        <v>0</v>
      </c>
    </row>
    <row r="27" spans="1:17" ht="14.1" customHeight="1" x14ac:dyDescent="0.15">
      <c r="B27" s="509"/>
      <c r="C27" s="510"/>
      <c r="D27" s="512"/>
      <c r="E27" s="511"/>
      <c r="F27" s="512"/>
      <c r="G27" s="511"/>
      <c r="H27" s="513">
        <v>60</v>
      </c>
      <c r="I27" s="509"/>
      <c r="J27" s="510"/>
      <c r="K27" s="512"/>
      <c r="L27" s="512"/>
      <c r="M27" s="512"/>
      <c r="N27" s="512"/>
      <c r="O27" s="512"/>
      <c r="P27" s="511"/>
      <c r="Q27" s="455">
        <f t="shared" si="0"/>
        <v>0</v>
      </c>
    </row>
    <row r="28" spans="1:17" ht="14.1" customHeight="1" x14ac:dyDescent="0.15">
      <c r="B28" s="509"/>
      <c r="C28" s="510"/>
      <c r="D28" s="512"/>
      <c r="E28" s="511"/>
      <c r="F28" s="512"/>
      <c r="G28" s="511"/>
      <c r="H28" s="513">
        <v>60</v>
      </c>
      <c r="I28" s="509"/>
      <c r="J28" s="510"/>
      <c r="K28" s="512"/>
      <c r="L28" s="512"/>
      <c r="M28" s="512"/>
      <c r="N28" s="512"/>
      <c r="O28" s="512"/>
      <c r="P28" s="511"/>
      <c r="Q28" s="455">
        <f t="shared" si="0"/>
        <v>0</v>
      </c>
    </row>
    <row r="29" spans="1:17" ht="14.1" customHeight="1" x14ac:dyDescent="0.15">
      <c r="B29" s="509"/>
      <c r="C29" s="510"/>
      <c r="D29" s="512"/>
      <c r="E29" s="511"/>
      <c r="F29" s="512"/>
      <c r="G29" s="511"/>
      <c r="H29" s="513">
        <v>60</v>
      </c>
      <c r="I29" s="509"/>
      <c r="J29" s="510"/>
      <c r="K29" s="512"/>
      <c r="L29" s="512"/>
      <c r="M29" s="512"/>
      <c r="N29" s="512"/>
      <c r="O29" s="512"/>
      <c r="P29" s="511"/>
      <c r="Q29" s="455">
        <f t="shared" si="0"/>
        <v>0</v>
      </c>
    </row>
    <row r="30" spans="1:17" ht="14.1" customHeight="1" x14ac:dyDescent="0.15">
      <c r="B30" s="509"/>
      <c r="C30" s="510"/>
      <c r="D30" s="512"/>
      <c r="E30" s="511"/>
      <c r="F30" s="512"/>
      <c r="G30" s="511"/>
      <c r="H30" s="513">
        <v>60</v>
      </c>
      <c r="I30" s="509"/>
      <c r="J30" s="510"/>
      <c r="K30" s="512"/>
      <c r="L30" s="512"/>
      <c r="M30" s="512"/>
      <c r="N30" s="512"/>
      <c r="O30" s="512"/>
      <c r="P30" s="511"/>
      <c r="Q30" s="455">
        <f t="shared" si="0"/>
        <v>0</v>
      </c>
    </row>
    <row r="31" spans="1:17" ht="14.1" customHeight="1" x14ac:dyDescent="0.15">
      <c r="B31" s="509"/>
      <c r="C31" s="510"/>
      <c r="D31" s="512"/>
      <c r="E31" s="511"/>
      <c r="F31" s="512"/>
      <c r="G31" s="511"/>
      <c r="H31" s="513">
        <v>60</v>
      </c>
      <c r="I31" s="509"/>
      <c r="J31" s="510"/>
      <c r="K31" s="512"/>
      <c r="L31" s="512"/>
      <c r="M31" s="512"/>
      <c r="N31" s="512"/>
      <c r="O31" s="512"/>
      <c r="P31" s="511"/>
      <c r="Q31" s="455">
        <f t="shared" si="0"/>
        <v>0</v>
      </c>
    </row>
    <row r="32" spans="1:17" ht="14.1" customHeight="1" x14ac:dyDescent="0.15">
      <c r="B32" s="509"/>
      <c r="C32" s="510"/>
      <c r="D32" s="512"/>
      <c r="E32" s="511"/>
      <c r="F32" s="512"/>
      <c r="G32" s="511"/>
      <c r="H32" s="513">
        <v>60</v>
      </c>
      <c r="I32" s="509"/>
      <c r="J32" s="510"/>
      <c r="K32" s="512"/>
      <c r="L32" s="512"/>
      <c r="M32" s="512"/>
      <c r="N32" s="512"/>
      <c r="O32" s="512"/>
      <c r="P32" s="511"/>
      <c r="Q32" s="455">
        <f t="shared" si="0"/>
        <v>0</v>
      </c>
    </row>
    <row r="33" spans="1:22" ht="14.1" customHeight="1" x14ac:dyDescent="0.15">
      <c r="B33" s="509"/>
      <c r="C33" s="510"/>
      <c r="D33" s="512"/>
      <c r="E33" s="511"/>
      <c r="F33" s="512"/>
      <c r="G33" s="511"/>
      <c r="H33" s="513">
        <v>60</v>
      </c>
      <c r="I33" s="509"/>
      <c r="J33" s="510"/>
      <c r="K33" s="512"/>
      <c r="L33" s="512"/>
      <c r="M33" s="512"/>
      <c r="N33" s="512"/>
      <c r="O33" s="512"/>
      <c r="P33" s="511"/>
      <c r="Q33" s="455">
        <f t="shared" si="0"/>
        <v>0</v>
      </c>
    </row>
    <row r="34" spans="1:22" ht="14.1" customHeight="1" x14ac:dyDescent="0.15">
      <c r="B34" s="509"/>
      <c r="C34" s="510"/>
      <c r="D34" s="512"/>
      <c r="E34" s="511"/>
      <c r="F34" s="512"/>
      <c r="G34" s="511"/>
      <c r="H34" s="513">
        <v>60</v>
      </c>
      <c r="I34" s="509"/>
      <c r="J34" s="510"/>
      <c r="K34" s="512"/>
      <c r="L34" s="512"/>
      <c r="M34" s="512"/>
      <c r="N34" s="512"/>
      <c r="O34" s="512"/>
      <c r="P34" s="511"/>
      <c r="Q34" s="455">
        <f t="shared" si="0"/>
        <v>0</v>
      </c>
    </row>
    <row r="35" spans="1:22" ht="14.1" customHeight="1" x14ac:dyDescent="0.15">
      <c r="B35" s="509"/>
      <c r="C35" s="510"/>
      <c r="D35" s="512"/>
      <c r="E35" s="511"/>
      <c r="F35" s="512"/>
      <c r="G35" s="511"/>
      <c r="H35" s="513">
        <v>60</v>
      </c>
      <c r="I35" s="509"/>
      <c r="J35" s="510"/>
      <c r="K35" s="512"/>
      <c r="L35" s="512"/>
      <c r="M35" s="512"/>
      <c r="N35" s="512"/>
      <c r="O35" s="512"/>
      <c r="P35" s="511"/>
      <c r="Q35" s="455">
        <f t="shared" si="0"/>
        <v>0</v>
      </c>
    </row>
    <row r="36" spans="1:22" ht="14.1" customHeight="1" x14ac:dyDescent="0.15">
      <c r="B36" s="509"/>
      <c r="C36" s="510"/>
      <c r="D36" s="512"/>
      <c r="E36" s="511"/>
      <c r="F36" s="512"/>
      <c r="G36" s="511"/>
      <c r="H36" s="513">
        <v>60</v>
      </c>
      <c r="I36" s="509"/>
      <c r="J36" s="510"/>
      <c r="K36" s="512"/>
      <c r="L36" s="512"/>
      <c r="M36" s="512"/>
      <c r="N36" s="512"/>
      <c r="O36" s="512"/>
      <c r="P36" s="511"/>
      <c r="Q36" s="455">
        <f t="shared" si="0"/>
        <v>0</v>
      </c>
    </row>
    <row r="37" spans="1:22" ht="14.1" customHeight="1" x14ac:dyDescent="0.15">
      <c r="B37" s="509"/>
      <c r="C37" s="510"/>
      <c r="D37" s="512"/>
      <c r="E37" s="511"/>
      <c r="F37" s="512"/>
      <c r="G37" s="511"/>
      <c r="H37" s="513">
        <v>60</v>
      </c>
      <c r="I37" s="509"/>
      <c r="J37" s="510"/>
      <c r="K37" s="512"/>
      <c r="L37" s="512"/>
      <c r="M37" s="512"/>
      <c r="N37" s="512"/>
      <c r="O37" s="512"/>
      <c r="P37" s="511"/>
      <c r="Q37" s="455">
        <f t="shared" si="0"/>
        <v>0</v>
      </c>
    </row>
    <row r="38" spans="1:22" ht="14.1" customHeight="1" x14ac:dyDescent="0.15">
      <c r="B38" s="509"/>
      <c r="C38" s="510"/>
      <c r="D38" s="512"/>
      <c r="E38" s="511"/>
      <c r="F38" s="512"/>
      <c r="G38" s="511"/>
      <c r="H38" s="513">
        <v>60</v>
      </c>
      <c r="I38" s="509"/>
      <c r="J38" s="510"/>
      <c r="K38" s="512"/>
      <c r="L38" s="512"/>
      <c r="M38" s="512"/>
      <c r="N38" s="512"/>
      <c r="O38" s="512"/>
      <c r="P38" s="511"/>
      <c r="Q38" s="455">
        <f t="shared" si="0"/>
        <v>0</v>
      </c>
    </row>
    <row r="39" spans="1:22" ht="14.1" customHeight="1" x14ac:dyDescent="0.15">
      <c r="B39" s="509"/>
      <c r="C39" s="510"/>
      <c r="D39" s="512"/>
      <c r="E39" s="511"/>
      <c r="F39" s="512"/>
      <c r="G39" s="511"/>
      <c r="H39" s="513">
        <v>60</v>
      </c>
      <c r="I39" s="509"/>
      <c r="J39" s="510"/>
      <c r="K39" s="512"/>
      <c r="L39" s="512"/>
      <c r="M39" s="512"/>
      <c r="N39" s="512"/>
      <c r="O39" s="512"/>
      <c r="P39" s="511"/>
      <c r="Q39" s="455">
        <f t="shared" si="0"/>
        <v>0</v>
      </c>
    </row>
    <row r="40" spans="1:22" ht="14.1" customHeight="1" thickBot="1" x14ac:dyDescent="0.2">
      <c r="B40" s="509"/>
      <c r="C40" s="510"/>
      <c r="D40" s="512"/>
      <c r="E40" s="511"/>
      <c r="F40" s="512"/>
      <c r="G40" s="511"/>
      <c r="H40" s="513">
        <v>60</v>
      </c>
      <c r="I40" s="509"/>
      <c r="J40" s="510"/>
      <c r="K40" s="512"/>
      <c r="L40" s="512"/>
      <c r="M40" s="512"/>
      <c r="N40" s="512"/>
      <c r="O40" s="512"/>
      <c r="P40" s="511"/>
      <c r="Q40" s="456">
        <f t="shared" si="0"/>
        <v>0</v>
      </c>
    </row>
    <row r="41" spans="1:22" ht="12" thickBot="1" x14ac:dyDescent="0.2">
      <c r="B41" s="251" t="s">
        <v>155</v>
      </c>
      <c r="D41" s="70"/>
      <c r="E41" s="70"/>
      <c r="F41" s="70"/>
      <c r="G41" s="70"/>
      <c r="H41" s="70"/>
      <c r="I41" s="73"/>
      <c r="J41" s="73"/>
      <c r="K41" s="73"/>
      <c r="L41" s="73"/>
      <c r="M41" s="73"/>
      <c r="N41" s="73"/>
      <c r="O41" s="73"/>
      <c r="P41" s="73"/>
      <c r="Q41" s="457">
        <f>SUM(Q18:Q40)</f>
        <v>0</v>
      </c>
    </row>
    <row r="42" spans="1:22" x14ac:dyDescent="0.15">
      <c r="D42" s="70"/>
      <c r="E42" s="70"/>
      <c r="F42" s="70"/>
      <c r="G42" s="70"/>
      <c r="H42" s="70"/>
      <c r="I42" s="72"/>
    </row>
    <row r="43" spans="1:22" x14ac:dyDescent="0.15">
      <c r="I43" s="74"/>
    </row>
    <row r="44" spans="1:22" s="205" customFormat="1" ht="14.25" x14ac:dyDescent="0.2">
      <c r="A44" s="199"/>
      <c r="B44" s="200" t="s">
        <v>90</v>
      </c>
      <c r="C44" s="200"/>
      <c r="D44" s="206"/>
      <c r="E44" s="207"/>
      <c r="F44" s="208"/>
      <c r="G44" s="208"/>
      <c r="H44" s="208"/>
      <c r="I44" s="209"/>
      <c r="J44" s="209"/>
      <c r="K44" s="209"/>
      <c r="L44" s="209"/>
      <c r="M44" s="209"/>
      <c r="N44" s="209"/>
      <c r="O44" s="209"/>
      <c r="P44" s="209"/>
      <c r="Q44" s="209"/>
    </row>
    <row r="45" spans="1:22" s="254" customFormat="1" ht="16.149999999999999" customHeight="1" x14ac:dyDescent="0.2">
      <c r="A45" s="252"/>
      <c r="B45" s="427"/>
      <c r="C45" s="428"/>
      <c r="D45" s="428"/>
      <c r="E45" s="428"/>
      <c r="F45" s="428"/>
      <c r="G45" s="429"/>
      <c r="H45" s="944" t="s">
        <v>166</v>
      </c>
      <c r="I45" s="944"/>
      <c r="J45" s="944"/>
      <c r="K45" s="945"/>
      <c r="L45" s="946" t="s">
        <v>182</v>
      </c>
      <c r="M45" s="945"/>
      <c r="N45" s="944" t="s">
        <v>146</v>
      </c>
      <c r="O45" s="944"/>
      <c r="P45" s="944"/>
      <c r="Q45" s="945"/>
      <c r="R45" s="261"/>
      <c r="S45" s="261"/>
      <c r="T45" s="261"/>
      <c r="U45" s="261"/>
      <c r="V45" s="253"/>
    </row>
    <row r="46" spans="1:22" s="261" customFormat="1" ht="59.65" customHeight="1" x14ac:dyDescent="0.2">
      <c r="A46" s="260"/>
      <c r="B46" s="306" t="s">
        <v>138</v>
      </c>
      <c r="C46" s="306" t="s">
        <v>163</v>
      </c>
      <c r="D46" s="306" t="s">
        <v>454</v>
      </c>
      <c r="E46" s="307" t="s">
        <v>147</v>
      </c>
      <c r="F46" s="307" t="s">
        <v>580</v>
      </c>
      <c r="G46" s="308" t="s">
        <v>145</v>
      </c>
      <c r="H46" s="540" t="s">
        <v>167</v>
      </c>
      <c r="I46" s="720" t="s">
        <v>590</v>
      </c>
      <c r="J46" s="720" t="s">
        <v>455</v>
      </c>
      <c r="K46" s="720" t="s">
        <v>581</v>
      </c>
      <c r="L46" s="721" t="s">
        <v>591</v>
      </c>
      <c r="M46" s="542" t="s">
        <v>592</v>
      </c>
      <c r="N46" s="540" t="s">
        <v>198</v>
      </c>
      <c r="O46" s="543" t="s">
        <v>197</v>
      </c>
      <c r="P46" s="543" t="s">
        <v>582</v>
      </c>
      <c r="Q46" s="541" t="s">
        <v>144</v>
      </c>
    </row>
    <row r="47" spans="1:22" s="76" customFormat="1" ht="14.1" customHeight="1" x14ac:dyDescent="0.15">
      <c r="A47" s="75"/>
      <c r="B47" s="516"/>
      <c r="C47" s="517"/>
      <c r="D47" s="518"/>
      <c r="E47" s="517"/>
      <c r="F47" s="519"/>
      <c r="G47" s="648">
        <f>+I47+K47+L47+M47</f>
        <v>0</v>
      </c>
      <c r="H47" s="520"/>
      <c r="I47" s="648">
        <f>H47*6</f>
        <v>0</v>
      </c>
      <c r="J47" s="520"/>
      <c r="K47" s="520"/>
      <c r="L47" s="520"/>
      <c r="M47" s="520"/>
      <c r="N47" s="648">
        <f t="shared" ref="N47:N63" si="1">+I47+K47</f>
        <v>0</v>
      </c>
      <c r="O47" s="648">
        <f>+L47+M47</f>
        <v>0</v>
      </c>
      <c r="P47" s="649">
        <f t="shared" ref="P47:P63" si="2">IFERROR(F47/G47*O47,0)</f>
        <v>0</v>
      </c>
      <c r="Q47" s="455">
        <f t="shared" ref="Q47:Q63" si="3">IFERROR(F47/G47*N47,0)</f>
        <v>0</v>
      </c>
    </row>
    <row r="48" spans="1:22" s="76" customFormat="1" ht="14.1" customHeight="1" x14ac:dyDescent="0.15">
      <c r="A48" s="75"/>
      <c r="B48" s="516"/>
      <c r="C48" s="517"/>
      <c r="D48" s="518"/>
      <c r="E48" s="517"/>
      <c r="F48" s="519"/>
      <c r="G48" s="648">
        <f t="shared" ref="G48:G62" si="4">+I48+K48+L48+M48</f>
        <v>0</v>
      </c>
      <c r="H48" s="520"/>
      <c r="I48" s="648">
        <f t="shared" ref="I48:I63" si="5">H48*6</f>
        <v>0</v>
      </c>
      <c r="J48" s="520"/>
      <c r="K48" s="520"/>
      <c r="L48" s="520"/>
      <c r="M48" s="520"/>
      <c r="N48" s="648">
        <f t="shared" si="1"/>
        <v>0</v>
      </c>
      <c r="O48" s="648">
        <f t="shared" ref="O48:O62" si="6">+L48+M48</f>
        <v>0</v>
      </c>
      <c r="P48" s="649">
        <f t="shared" si="2"/>
        <v>0</v>
      </c>
      <c r="Q48" s="455">
        <f t="shared" si="3"/>
        <v>0</v>
      </c>
      <c r="R48" s="385"/>
    </row>
    <row r="49" spans="1:22" s="76" customFormat="1" ht="14.1" customHeight="1" x14ac:dyDescent="0.15">
      <c r="A49" s="75"/>
      <c r="B49" s="516"/>
      <c r="C49" s="517"/>
      <c r="D49" s="518"/>
      <c r="E49" s="517"/>
      <c r="F49" s="519"/>
      <c r="G49" s="648">
        <f t="shared" si="4"/>
        <v>0</v>
      </c>
      <c r="H49" s="520"/>
      <c r="I49" s="648">
        <f t="shared" si="5"/>
        <v>0</v>
      </c>
      <c r="J49" s="520"/>
      <c r="K49" s="520"/>
      <c r="L49" s="520"/>
      <c r="M49" s="520"/>
      <c r="N49" s="648">
        <f t="shared" si="1"/>
        <v>0</v>
      </c>
      <c r="O49" s="648">
        <f t="shared" si="6"/>
        <v>0</v>
      </c>
      <c r="P49" s="649">
        <f t="shared" si="2"/>
        <v>0</v>
      </c>
      <c r="Q49" s="455">
        <f t="shared" si="3"/>
        <v>0</v>
      </c>
      <c r="R49" s="385"/>
    </row>
    <row r="50" spans="1:22" s="76" customFormat="1" ht="14.1" customHeight="1" x14ac:dyDescent="0.15">
      <c r="A50" s="75"/>
      <c r="B50" s="516"/>
      <c r="C50" s="517"/>
      <c r="D50" s="518"/>
      <c r="E50" s="517"/>
      <c r="F50" s="519"/>
      <c r="G50" s="648">
        <f t="shared" si="4"/>
        <v>0</v>
      </c>
      <c r="H50" s="520"/>
      <c r="I50" s="648">
        <f t="shared" si="5"/>
        <v>0</v>
      </c>
      <c r="J50" s="520"/>
      <c r="K50" s="520"/>
      <c r="L50" s="520"/>
      <c r="M50" s="520"/>
      <c r="N50" s="648">
        <f t="shared" si="1"/>
        <v>0</v>
      </c>
      <c r="O50" s="648">
        <f t="shared" si="6"/>
        <v>0</v>
      </c>
      <c r="P50" s="649">
        <f t="shared" si="2"/>
        <v>0</v>
      </c>
      <c r="Q50" s="455">
        <f t="shared" si="3"/>
        <v>0</v>
      </c>
      <c r="R50" s="385"/>
    </row>
    <row r="51" spans="1:22" s="76" customFormat="1" ht="14.1" customHeight="1" x14ac:dyDescent="0.15">
      <c r="A51" s="75"/>
      <c r="B51" s="516"/>
      <c r="C51" s="517"/>
      <c r="D51" s="518"/>
      <c r="E51" s="517"/>
      <c r="F51" s="519"/>
      <c r="G51" s="648">
        <f t="shared" si="4"/>
        <v>0</v>
      </c>
      <c r="H51" s="520"/>
      <c r="I51" s="648">
        <f t="shared" si="5"/>
        <v>0</v>
      </c>
      <c r="J51" s="520"/>
      <c r="K51" s="520"/>
      <c r="L51" s="520"/>
      <c r="M51" s="520"/>
      <c r="N51" s="648">
        <f t="shared" si="1"/>
        <v>0</v>
      </c>
      <c r="O51" s="648">
        <f t="shared" si="6"/>
        <v>0</v>
      </c>
      <c r="P51" s="649">
        <f t="shared" si="2"/>
        <v>0</v>
      </c>
      <c r="Q51" s="455">
        <f t="shared" si="3"/>
        <v>0</v>
      </c>
      <c r="R51" s="385"/>
    </row>
    <row r="52" spans="1:22" s="76" customFormat="1" ht="14.1" customHeight="1" x14ac:dyDescent="0.15">
      <c r="A52" s="75"/>
      <c r="B52" s="516"/>
      <c r="C52" s="517"/>
      <c r="D52" s="518"/>
      <c r="E52" s="517"/>
      <c r="F52" s="519"/>
      <c r="G52" s="648">
        <f t="shared" si="4"/>
        <v>0</v>
      </c>
      <c r="H52" s="520"/>
      <c r="I52" s="648">
        <f t="shared" si="5"/>
        <v>0</v>
      </c>
      <c r="J52" s="520"/>
      <c r="K52" s="520"/>
      <c r="L52" s="520"/>
      <c r="M52" s="520"/>
      <c r="N52" s="648">
        <f t="shared" si="1"/>
        <v>0</v>
      </c>
      <c r="O52" s="648">
        <f t="shared" si="6"/>
        <v>0</v>
      </c>
      <c r="P52" s="649">
        <f t="shared" si="2"/>
        <v>0</v>
      </c>
      <c r="Q52" s="455">
        <f t="shared" si="3"/>
        <v>0</v>
      </c>
      <c r="R52" s="385"/>
    </row>
    <row r="53" spans="1:22" s="76" customFormat="1" ht="14.1" customHeight="1" x14ac:dyDescent="0.15">
      <c r="A53" s="75"/>
      <c r="B53" s="516"/>
      <c r="C53" s="517"/>
      <c r="D53" s="518"/>
      <c r="E53" s="517"/>
      <c r="F53" s="519"/>
      <c r="G53" s="648">
        <f t="shared" si="4"/>
        <v>0</v>
      </c>
      <c r="H53" s="520"/>
      <c r="I53" s="648">
        <f t="shared" si="5"/>
        <v>0</v>
      </c>
      <c r="J53" s="520"/>
      <c r="K53" s="520"/>
      <c r="L53" s="520"/>
      <c r="M53" s="520"/>
      <c r="N53" s="648">
        <f t="shared" si="1"/>
        <v>0</v>
      </c>
      <c r="O53" s="648">
        <f t="shared" si="6"/>
        <v>0</v>
      </c>
      <c r="P53" s="649">
        <f t="shared" si="2"/>
        <v>0</v>
      </c>
      <c r="Q53" s="455">
        <f t="shared" si="3"/>
        <v>0</v>
      </c>
      <c r="R53" s="385"/>
    </row>
    <row r="54" spans="1:22" s="76" customFormat="1" ht="14.1" customHeight="1" x14ac:dyDescent="0.15">
      <c r="A54" s="75"/>
      <c r="B54" s="516"/>
      <c r="C54" s="517"/>
      <c r="D54" s="518"/>
      <c r="E54" s="517"/>
      <c r="F54" s="519"/>
      <c r="G54" s="648">
        <f t="shared" si="4"/>
        <v>0</v>
      </c>
      <c r="H54" s="520"/>
      <c r="I54" s="648">
        <f t="shared" si="5"/>
        <v>0</v>
      </c>
      <c r="J54" s="520"/>
      <c r="K54" s="520"/>
      <c r="L54" s="520"/>
      <c r="M54" s="520"/>
      <c r="N54" s="648">
        <f t="shared" si="1"/>
        <v>0</v>
      </c>
      <c r="O54" s="648">
        <f t="shared" si="6"/>
        <v>0</v>
      </c>
      <c r="P54" s="649">
        <f t="shared" si="2"/>
        <v>0</v>
      </c>
      <c r="Q54" s="455">
        <f t="shared" si="3"/>
        <v>0</v>
      </c>
      <c r="R54" s="385"/>
    </row>
    <row r="55" spans="1:22" s="76" customFormat="1" ht="14.1" customHeight="1" x14ac:dyDescent="0.15">
      <c r="A55" s="75"/>
      <c r="B55" s="516"/>
      <c r="C55" s="517"/>
      <c r="D55" s="518"/>
      <c r="E55" s="517"/>
      <c r="F55" s="519"/>
      <c r="G55" s="648">
        <f t="shared" si="4"/>
        <v>0</v>
      </c>
      <c r="H55" s="520"/>
      <c r="I55" s="648">
        <f t="shared" si="5"/>
        <v>0</v>
      </c>
      <c r="J55" s="520"/>
      <c r="K55" s="520"/>
      <c r="L55" s="520"/>
      <c r="M55" s="520"/>
      <c r="N55" s="648">
        <f t="shared" si="1"/>
        <v>0</v>
      </c>
      <c r="O55" s="648">
        <f t="shared" si="6"/>
        <v>0</v>
      </c>
      <c r="P55" s="649">
        <f t="shared" si="2"/>
        <v>0</v>
      </c>
      <c r="Q55" s="455">
        <f t="shared" si="3"/>
        <v>0</v>
      </c>
      <c r="R55" s="385"/>
    </row>
    <row r="56" spans="1:22" s="76" customFormat="1" ht="14.1" customHeight="1" x14ac:dyDescent="0.15">
      <c r="A56" s="75"/>
      <c r="B56" s="516"/>
      <c r="C56" s="517"/>
      <c r="D56" s="518"/>
      <c r="E56" s="517"/>
      <c r="F56" s="519"/>
      <c r="G56" s="648">
        <f t="shared" si="4"/>
        <v>0</v>
      </c>
      <c r="H56" s="520"/>
      <c r="I56" s="648">
        <f t="shared" si="5"/>
        <v>0</v>
      </c>
      <c r="J56" s="520"/>
      <c r="K56" s="520"/>
      <c r="L56" s="520"/>
      <c r="M56" s="520"/>
      <c r="N56" s="648">
        <f t="shared" si="1"/>
        <v>0</v>
      </c>
      <c r="O56" s="648">
        <f t="shared" si="6"/>
        <v>0</v>
      </c>
      <c r="P56" s="649">
        <f t="shared" si="2"/>
        <v>0</v>
      </c>
      <c r="Q56" s="455">
        <f t="shared" si="3"/>
        <v>0</v>
      </c>
      <c r="R56" s="385"/>
    </row>
    <row r="57" spans="1:22" s="76" customFormat="1" ht="14.1" customHeight="1" x14ac:dyDescent="0.15">
      <c r="A57" s="75"/>
      <c r="B57" s="516"/>
      <c r="C57" s="517"/>
      <c r="D57" s="518"/>
      <c r="E57" s="517"/>
      <c r="F57" s="519"/>
      <c r="G57" s="648">
        <f t="shared" si="4"/>
        <v>0</v>
      </c>
      <c r="H57" s="520"/>
      <c r="I57" s="648">
        <f t="shared" si="5"/>
        <v>0</v>
      </c>
      <c r="J57" s="520"/>
      <c r="K57" s="520"/>
      <c r="L57" s="520"/>
      <c r="M57" s="520"/>
      <c r="N57" s="648">
        <f t="shared" si="1"/>
        <v>0</v>
      </c>
      <c r="O57" s="648">
        <f t="shared" si="6"/>
        <v>0</v>
      </c>
      <c r="P57" s="649">
        <f t="shared" si="2"/>
        <v>0</v>
      </c>
      <c r="Q57" s="455">
        <f t="shared" si="3"/>
        <v>0</v>
      </c>
      <c r="R57" s="385"/>
    </row>
    <row r="58" spans="1:22" s="76" customFormat="1" ht="14.1" customHeight="1" x14ac:dyDescent="0.15">
      <c r="A58" s="75"/>
      <c r="B58" s="516"/>
      <c r="C58" s="517"/>
      <c r="D58" s="518"/>
      <c r="E58" s="517"/>
      <c r="F58" s="519"/>
      <c r="G58" s="648">
        <f t="shared" si="4"/>
        <v>0</v>
      </c>
      <c r="H58" s="520"/>
      <c r="I58" s="648">
        <f t="shared" si="5"/>
        <v>0</v>
      </c>
      <c r="J58" s="520"/>
      <c r="K58" s="520"/>
      <c r="L58" s="520"/>
      <c r="M58" s="520"/>
      <c r="N58" s="648">
        <f t="shared" si="1"/>
        <v>0</v>
      </c>
      <c r="O58" s="648">
        <f t="shared" si="6"/>
        <v>0</v>
      </c>
      <c r="P58" s="649">
        <f t="shared" si="2"/>
        <v>0</v>
      </c>
      <c r="Q58" s="455">
        <f t="shared" si="3"/>
        <v>0</v>
      </c>
      <c r="R58" s="385"/>
    </row>
    <row r="59" spans="1:22" s="76" customFormat="1" ht="14.1" customHeight="1" x14ac:dyDescent="0.15">
      <c r="A59" s="75"/>
      <c r="B59" s="516"/>
      <c r="C59" s="517"/>
      <c r="D59" s="518"/>
      <c r="E59" s="517"/>
      <c r="F59" s="519"/>
      <c r="G59" s="648">
        <f t="shared" si="4"/>
        <v>0</v>
      </c>
      <c r="H59" s="520"/>
      <c r="I59" s="648">
        <f t="shared" si="5"/>
        <v>0</v>
      </c>
      <c r="J59" s="520"/>
      <c r="K59" s="520"/>
      <c r="L59" s="520"/>
      <c r="M59" s="520"/>
      <c r="N59" s="648">
        <f t="shared" si="1"/>
        <v>0</v>
      </c>
      <c r="O59" s="648">
        <f t="shared" si="6"/>
        <v>0</v>
      </c>
      <c r="P59" s="649">
        <f t="shared" si="2"/>
        <v>0</v>
      </c>
      <c r="Q59" s="455">
        <f t="shared" si="3"/>
        <v>0</v>
      </c>
      <c r="R59" s="385"/>
    </row>
    <row r="60" spans="1:22" s="76" customFormat="1" ht="14.1" customHeight="1" x14ac:dyDescent="0.15">
      <c r="A60" s="75"/>
      <c r="B60" s="516"/>
      <c r="C60" s="517"/>
      <c r="D60" s="518"/>
      <c r="E60" s="517"/>
      <c r="F60" s="519"/>
      <c r="G60" s="648">
        <f t="shared" si="4"/>
        <v>0</v>
      </c>
      <c r="H60" s="520"/>
      <c r="I60" s="648">
        <f t="shared" si="5"/>
        <v>0</v>
      </c>
      <c r="J60" s="520"/>
      <c r="K60" s="520"/>
      <c r="L60" s="520"/>
      <c r="M60" s="520"/>
      <c r="N60" s="648">
        <f t="shared" si="1"/>
        <v>0</v>
      </c>
      <c r="O60" s="648">
        <f t="shared" si="6"/>
        <v>0</v>
      </c>
      <c r="P60" s="649">
        <f t="shared" si="2"/>
        <v>0</v>
      </c>
      <c r="Q60" s="455">
        <f t="shared" si="3"/>
        <v>0</v>
      </c>
      <c r="R60" s="385"/>
    </row>
    <row r="61" spans="1:22" s="76" customFormat="1" ht="14.1" customHeight="1" x14ac:dyDescent="0.15">
      <c r="A61" s="75"/>
      <c r="B61" s="516"/>
      <c r="C61" s="517"/>
      <c r="D61" s="518"/>
      <c r="E61" s="517"/>
      <c r="F61" s="519"/>
      <c r="G61" s="648">
        <f t="shared" si="4"/>
        <v>0</v>
      </c>
      <c r="H61" s="520"/>
      <c r="I61" s="648">
        <f t="shared" si="5"/>
        <v>0</v>
      </c>
      <c r="J61" s="520"/>
      <c r="K61" s="520"/>
      <c r="L61" s="520"/>
      <c r="M61" s="520"/>
      <c r="N61" s="648">
        <f t="shared" si="1"/>
        <v>0</v>
      </c>
      <c r="O61" s="648">
        <f t="shared" si="6"/>
        <v>0</v>
      </c>
      <c r="P61" s="649">
        <f t="shared" si="2"/>
        <v>0</v>
      </c>
      <c r="Q61" s="455">
        <f t="shared" si="3"/>
        <v>0</v>
      </c>
      <c r="R61" s="385"/>
    </row>
    <row r="62" spans="1:22" s="76" customFormat="1" ht="14.1" customHeight="1" x14ac:dyDescent="0.15">
      <c r="A62" s="75"/>
      <c r="B62" s="516"/>
      <c r="C62" s="517"/>
      <c r="D62" s="518"/>
      <c r="E62" s="517"/>
      <c r="F62" s="519"/>
      <c r="G62" s="648">
        <f t="shared" si="4"/>
        <v>0</v>
      </c>
      <c r="H62" s="520"/>
      <c r="I62" s="648">
        <f t="shared" si="5"/>
        <v>0</v>
      </c>
      <c r="J62" s="520"/>
      <c r="K62" s="520"/>
      <c r="L62" s="520"/>
      <c r="M62" s="520"/>
      <c r="N62" s="648">
        <f t="shared" si="1"/>
        <v>0</v>
      </c>
      <c r="O62" s="648">
        <f t="shared" si="6"/>
        <v>0</v>
      </c>
      <c r="P62" s="649">
        <f t="shared" si="2"/>
        <v>0</v>
      </c>
      <c r="Q62" s="455">
        <f t="shared" si="3"/>
        <v>0</v>
      </c>
      <c r="R62" s="385"/>
    </row>
    <row r="63" spans="1:22" ht="14.1" customHeight="1" thickBot="1" x14ac:dyDescent="0.2">
      <c r="B63" s="509"/>
      <c r="C63" s="517"/>
      <c r="D63" s="521"/>
      <c r="E63" s="517"/>
      <c r="F63" s="522"/>
      <c r="G63" s="648">
        <f>+I63+K63+L63+M63</f>
        <v>0</v>
      </c>
      <c r="H63" s="520"/>
      <c r="I63" s="648">
        <f t="shared" si="5"/>
        <v>0</v>
      </c>
      <c r="J63" s="520"/>
      <c r="K63" s="520"/>
      <c r="L63" s="520"/>
      <c r="M63" s="520"/>
      <c r="N63" s="648">
        <f t="shared" si="1"/>
        <v>0</v>
      </c>
      <c r="O63" s="648">
        <f>+L63+M63</f>
        <v>0</v>
      </c>
      <c r="P63" s="649">
        <f t="shared" si="2"/>
        <v>0</v>
      </c>
      <c r="Q63" s="455">
        <f t="shared" si="3"/>
        <v>0</v>
      </c>
      <c r="R63" s="385"/>
      <c r="S63" s="62"/>
      <c r="T63" s="62"/>
      <c r="U63" s="62"/>
      <c r="V63" s="62"/>
    </row>
    <row r="64" spans="1:22" ht="14.1" customHeight="1" thickBot="1" x14ac:dyDescent="0.2">
      <c r="D64" s="386">
        <f>SUM(D47:D63)</f>
        <v>0</v>
      </c>
      <c r="E64" s="77"/>
      <c r="F64" s="403">
        <f>SUM(F47:F63)</f>
        <v>0</v>
      </c>
      <c r="G64" s="852" t="str">
        <f>IF(D64&gt;0,IF(F64/D64&gt;Df_Pw,"Let op. Waarde komt boven de defaultwaarde van € "&amp;TEXT(Df_Pw,"0.00")&amp;" uit. Dit is alleen toegestaan met een degelijke onderbouwing in het projectplan en middels offertes en/of kostenramingen.",""),"")</f>
        <v/>
      </c>
      <c r="H64" s="77"/>
    </row>
    <row r="65" spans="1:18" ht="14.1" customHeight="1" thickBot="1" x14ac:dyDescent="0.2">
      <c r="B65" s="388" t="s">
        <v>148</v>
      </c>
      <c r="C65" s="389"/>
      <c r="D65" s="389"/>
      <c r="E65" s="389"/>
      <c r="F65" s="390"/>
      <c r="G65" s="389"/>
      <c r="H65" s="389"/>
      <c r="I65" s="722"/>
      <c r="J65" s="389"/>
      <c r="K65" s="391"/>
      <c r="L65" s="389"/>
      <c r="M65" s="389"/>
      <c r="N65" s="389"/>
      <c r="O65" s="389"/>
      <c r="P65" s="392"/>
      <c r="Q65" s="458">
        <f>SUM(Q47:Q63)</f>
        <v>0</v>
      </c>
    </row>
    <row r="66" spans="1:18" ht="14.1" customHeight="1" x14ac:dyDescent="0.15">
      <c r="I66" s="74"/>
    </row>
    <row r="67" spans="1:18" s="205" customFormat="1" ht="14.25" x14ac:dyDescent="0.2">
      <c r="A67" s="199"/>
      <c r="B67" s="309" t="s">
        <v>178</v>
      </c>
      <c r="C67" s="279"/>
      <c r="D67" s="280"/>
      <c r="E67" s="281"/>
      <c r="F67" s="213"/>
      <c r="G67" s="213"/>
      <c r="H67" s="213"/>
      <c r="I67" s="214"/>
      <c r="J67" s="214"/>
      <c r="K67" s="214"/>
      <c r="L67" s="214"/>
      <c r="M67" s="214"/>
      <c r="N67" s="214"/>
      <c r="O67" s="214"/>
      <c r="P67" s="214"/>
      <c r="Q67" s="214"/>
    </row>
    <row r="68" spans="1:18" s="205" customFormat="1" ht="14.25" customHeight="1" x14ac:dyDescent="0.2">
      <c r="A68" s="199"/>
      <c r="B68" s="430"/>
      <c r="C68" s="431"/>
      <c r="D68" s="431"/>
      <c r="E68" s="431"/>
      <c r="F68" s="431"/>
      <c r="G68" s="432"/>
      <c r="H68" s="944" t="s">
        <v>166</v>
      </c>
      <c r="I68" s="944"/>
      <c r="J68" s="944"/>
      <c r="K68" s="945"/>
      <c r="L68" s="946" t="s">
        <v>182</v>
      </c>
      <c r="M68" s="945"/>
      <c r="N68" s="944" t="s">
        <v>146</v>
      </c>
      <c r="O68" s="944"/>
      <c r="P68" s="944"/>
      <c r="Q68" s="945"/>
    </row>
    <row r="69" spans="1:18" s="254" customFormat="1" ht="56.25" x14ac:dyDescent="0.2">
      <c r="A69" s="252"/>
      <c r="B69" s="306" t="s">
        <v>138</v>
      </c>
      <c r="C69" s="306" t="s">
        <v>163</v>
      </c>
      <c r="D69" s="306" t="s">
        <v>164</v>
      </c>
      <c r="E69" s="307" t="s">
        <v>152</v>
      </c>
      <c r="F69" s="307" t="s">
        <v>580</v>
      </c>
      <c r="G69" s="308" t="s">
        <v>145</v>
      </c>
      <c r="H69" s="540" t="s">
        <v>167</v>
      </c>
      <c r="I69" s="720" t="s">
        <v>590</v>
      </c>
      <c r="J69" s="720" t="s">
        <v>455</v>
      </c>
      <c r="K69" s="720" t="s">
        <v>581</v>
      </c>
      <c r="L69" s="721" t="s">
        <v>591</v>
      </c>
      <c r="M69" s="542" t="s">
        <v>592</v>
      </c>
      <c r="N69" s="540" t="s">
        <v>198</v>
      </c>
      <c r="O69" s="543" t="s">
        <v>197</v>
      </c>
      <c r="P69" s="543" t="s">
        <v>582</v>
      </c>
      <c r="Q69" s="541" t="s">
        <v>144</v>
      </c>
    </row>
    <row r="70" spans="1:18" s="205" customFormat="1" ht="14.1" customHeight="1" x14ac:dyDescent="0.2">
      <c r="A70" s="199"/>
      <c r="B70" s="516"/>
      <c r="C70" s="517"/>
      <c r="D70" s="518"/>
      <c r="E70" s="517"/>
      <c r="F70" s="519"/>
      <c r="G70" s="648">
        <f t="shared" ref="G70:G84" si="7">+I70+K70+L70+M70</f>
        <v>0</v>
      </c>
      <c r="H70" s="520"/>
      <c r="I70" s="648">
        <f>+H70*6</f>
        <v>0</v>
      </c>
      <c r="J70" s="520"/>
      <c r="K70" s="520"/>
      <c r="L70" s="520"/>
      <c r="M70" s="520"/>
      <c r="N70" s="648">
        <f t="shared" ref="N70:N84" si="8">+I70+K70</f>
        <v>0</v>
      </c>
      <c r="O70" s="648">
        <f>+L70+M70</f>
        <v>0</v>
      </c>
      <c r="P70" s="649">
        <f t="shared" ref="P70:P84" si="9">IFERROR(F70/G70*O70,0)</f>
        <v>0</v>
      </c>
      <c r="Q70" s="455">
        <f t="shared" ref="Q70:Q84" si="10">IFERROR(F70/G70*N70,0)</f>
        <v>0</v>
      </c>
    </row>
    <row r="71" spans="1:18" s="205" customFormat="1" ht="14.1" customHeight="1" x14ac:dyDescent="0.2">
      <c r="A71" s="199"/>
      <c r="B71" s="516"/>
      <c r="C71" s="517"/>
      <c r="D71" s="518"/>
      <c r="E71" s="517"/>
      <c r="F71" s="519"/>
      <c r="G71" s="648">
        <f t="shared" si="7"/>
        <v>0</v>
      </c>
      <c r="H71" s="520"/>
      <c r="I71" s="648">
        <f t="shared" ref="I71:I84" si="11">+H71*6</f>
        <v>0</v>
      </c>
      <c r="J71" s="520"/>
      <c r="K71" s="520"/>
      <c r="L71" s="520"/>
      <c r="M71" s="520"/>
      <c r="N71" s="648">
        <f t="shared" si="8"/>
        <v>0</v>
      </c>
      <c r="O71" s="648">
        <f t="shared" ref="O71:O84" si="12">+L71+M71</f>
        <v>0</v>
      </c>
      <c r="P71" s="649">
        <f t="shared" si="9"/>
        <v>0</v>
      </c>
      <c r="Q71" s="455">
        <f t="shared" si="10"/>
        <v>0</v>
      </c>
      <c r="R71" s="385"/>
    </row>
    <row r="72" spans="1:18" s="205" customFormat="1" ht="14.1" customHeight="1" x14ac:dyDescent="0.2">
      <c r="A72" s="199"/>
      <c r="B72" s="516"/>
      <c r="C72" s="517"/>
      <c r="D72" s="518"/>
      <c r="E72" s="517"/>
      <c r="F72" s="519"/>
      <c r="G72" s="648">
        <f t="shared" si="7"/>
        <v>0</v>
      </c>
      <c r="H72" s="520"/>
      <c r="I72" s="648">
        <f t="shared" si="11"/>
        <v>0</v>
      </c>
      <c r="J72" s="520"/>
      <c r="K72" s="520"/>
      <c r="L72" s="520"/>
      <c r="M72" s="520"/>
      <c r="N72" s="648">
        <f t="shared" si="8"/>
        <v>0</v>
      </c>
      <c r="O72" s="648">
        <f t="shared" si="12"/>
        <v>0</v>
      </c>
      <c r="P72" s="649">
        <f t="shared" si="9"/>
        <v>0</v>
      </c>
      <c r="Q72" s="455">
        <f t="shared" si="10"/>
        <v>0</v>
      </c>
      <c r="R72" s="385"/>
    </row>
    <row r="73" spans="1:18" s="205" customFormat="1" ht="14.1" customHeight="1" x14ac:dyDescent="0.2">
      <c r="A73" s="199"/>
      <c r="B73" s="516"/>
      <c r="C73" s="517"/>
      <c r="D73" s="518"/>
      <c r="E73" s="517"/>
      <c r="F73" s="519"/>
      <c r="G73" s="648">
        <f t="shared" si="7"/>
        <v>0</v>
      </c>
      <c r="H73" s="520"/>
      <c r="I73" s="648">
        <f t="shared" si="11"/>
        <v>0</v>
      </c>
      <c r="J73" s="520"/>
      <c r="K73" s="520"/>
      <c r="L73" s="520"/>
      <c r="M73" s="520"/>
      <c r="N73" s="648">
        <f t="shared" si="8"/>
        <v>0</v>
      </c>
      <c r="O73" s="648">
        <f t="shared" si="12"/>
        <v>0</v>
      </c>
      <c r="P73" s="649">
        <f t="shared" si="9"/>
        <v>0</v>
      </c>
      <c r="Q73" s="455">
        <f t="shared" si="10"/>
        <v>0</v>
      </c>
      <c r="R73" s="385"/>
    </row>
    <row r="74" spans="1:18" s="205" customFormat="1" ht="14.1" customHeight="1" x14ac:dyDescent="0.2">
      <c r="A74" s="199"/>
      <c r="B74" s="516"/>
      <c r="C74" s="517"/>
      <c r="D74" s="518"/>
      <c r="E74" s="517"/>
      <c r="F74" s="519"/>
      <c r="G74" s="648">
        <f t="shared" si="7"/>
        <v>0</v>
      </c>
      <c r="H74" s="520"/>
      <c r="I74" s="648">
        <f t="shared" si="11"/>
        <v>0</v>
      </c>
      <c r="J74" s="520"/>
      <c r="K74" s="520"/>
      <c r="L74" s="520"/>
      <c r="M74" s="520"/>
      <c r="N74" s="648">
        <f t="shared" si="8"/>
        <v>0</v>
      </c>
      <c r="O74" s="648">
        <f t="shared" si="12"/>
        <v>0</v>
      </c>
      <c r="P74" s="649">
        <f t="shared" si="9"/>
        <v>0</v>
      </c>
      <c r="Q74" s="455">
        <f t="shared" si="10"/>
        <v>0</v>
      </c>
      <c r="R74" s="385"/>
    </row>
    <row r="75" spans="1:18" s="205" customFormat="1" ht="14.1" customHeight="1" x14ac:dyDescent="0.2">
      <c r="A75" s="199"/>
      <c r="B75" s="516"/>
      <c r="C75" s="517"/>
      <c r="D75" s="518"/>
      <c r="E75" s="517"/>
      <c r="F75" s="519"/>
      <c r="G75" s="648">
        <f t="shared" si="7"/>
        <v>0</v>
      </c>
      <c r="H75" s="520"/>
      <c r="I75" s="648">
        <f t="shared" si="11"/>
        <v>0</v>
      </c>
      <c r="J75" s="520"/>
      <c r="K75" s="520"/>
      <c r="L75" s="520"/>
      <c r="M75" s="520"/>
      <c r="N75" s="648">
        <f t="shared" si="8"/>
        <v>0</v>
      </c>
      <c r="O75" s="648">
        <f t="shared" si="12"/>
        <v>0</v>
      </c>
      <c r="P75" s="649">
        <f t="shared" si="9"/>
        <v>0</v>
      </c>
      <c r="Q75" s="455">
        <f t="shared" si="10"/>
        <v>0</v>
      </c>
      <c r="R75" s="385"/>
    </row>
    <row r="76" spans="1:18" s="205" customFormat="1" ht="14.1" customHeight="1" x14ac:dyDescent="0.2">
      <c r="A76" s="199"/>
      <c r="B76" s="516"/>
      <c r="C76" s="517"/>
      <c r="D76" s="518"/>
      <c r="E76" s="517"/>
      <c r="F76" s="519"/>
      <c r="G76" s="648">
        <f t="shared" si="7"/>
        <v>0</v>
      </c>
      <c r="H76" s="520"/>
      <c r="I76" s="648">
        <f t="shared" si="11"/>
        <v>0</v>
      </c>
      <c r="J76" s="520"/>
      <c r="K76" s="520"/>
      <c r="L76" s="520"/>
      <c r="M76" s="520"/>
      <c r="N76" s="648">
        <f t="shared" si="8"/>
        <v>0</v>
      </c>
      <c r="O76" s="648">
        <f t="shared" si="12"/>
        <v>0</v>
      </c>
      <c r="P76" s="649">
        <f t="shared" si="9"/>
        <v>0</v>
      </c>
      <c r="Q76" s="455">
        <f t="shared" si="10"/>
        <v>0</v>
      </c>
      <c r="R76" s="385"/>
    </row>
    <row r="77" spans="1:18" s="205" customFormat="1" ht="14.1" customHeight="1" x14ac:dyDescent="0.2">
      <c r="A77" s="199"/>
      <c r="B77" s="516"/>
      <c r="C77" s="517"/>
      <c r="D77" s="518"/>
      <c r="E77" s="517"/>
      <c r="F77" s="519"/>
      <c r="G77" s="648">
        <f t="shared" si="7"/>
        <v>0</v>
      </c>
      <c r="H77" s="520"/>
      <c r="I77" s="648">
        <f t="shared" si="11"/>
        <v>0</v>
      </c>
      <c r="J77" s="520"/>
      <c r="K77" s="520"/>
      <c r="L77" s="520"/>
      <c r="M77" s="520"/>
      <c r="N77" s="648">
        <f t="shared" si="8"/>
        <v>0</v>
      </c>
      <c r="O77" s="648">
        <f t="shared" si="12"/>
        <v>0</v>
      </c>
      <c r="P77" s="649">
        <f t="shared" si="9"/>
        <v>0</v>
      </c>
      <c r="Q77" s="455">
        <f t="shared" si="10"/>
        <v>0</v>
      </c>
      <c r="R77" s="385"/>
    </row>
    <row r="78" spans="1:18" s="205" customFormat="1" ht="14.1" customHeight="1" x14ac:dyDescent="0.2">
      <c r="A78" s="199"/>
      <c r="B78" s="516"/>
      <c r="C78" s="517"/>
      <c r="D78" s="518"/>
      <c r="E78" s="517"/>
      <c r="F78" s="519"/>
      <c r="G78" s="648">
        <f t="shared" si="7"/>
        <v>0</v>
      </c>
      <c r="H78" s="520"/>
      <c r="I78" s="648">
        <f t="shared" si="11"/>
        <v>0</v>
      </c>
      <c r="J78" s="520"/>
      <c r="K78" s="520"/>
      <c r="L78" s="520"/>
      <c r="M78" s="520"/>
      <c r="N78" s="648">
        <f t="shared" si="8"/>
        <v>0</v>
      </c>
      <c r="O78" s="648">
        <f t="shared" si="12"/>
        <v>0</v>
      </c>
      <c r="P78" s="649">
        <f t="shared" si="9"/>
        <v>0</v>
      </c>
      <c r="Q78" s="455">
        <f t="shared" si="10"/>
        <v>0</v>
      </c>
      <c r="R78" s="385"/>
    </row>
    <row r="79" spans="1:18" s="205" customFormat="1" ht="14.1" customHeight="1" x14ac:dyDescent="0.2">
      <c r="A79" s="199"/>
      <c r="B79" s="516"/>
      <c r="C79" s="517"/>
      <c r="D79" s="518"/>
      <c r="E79" s="517"/>
      <c r="F79" s="519"/>
      <c r="G79" s="648">
        <f t="shared" si="7"/>
        <v>0</v>
      </c>
      <c r="H79" s="520"/>
      <c r="I79" s="648">
        <f t="shared" si="11"/>
        <v>0</v>
      </c>
      <c r="J79" s="520"/>
      <c r="K79" s="520"/>
      <c r="L79" s="520"/>
      <c r="M79" s="520"/>
      <c r="N79" s="648">
        <f t="shared" si="8"/>
        <v>0</v>
      </c>
      <c r="O79" s="648">
        <f t="shared" si="12"/>
        <v>0</v>
      </c>
      <c r="P79" s="649">
        <f t="shared" si="9"/>
        <v>0</v>
      </c>
      <c r="Q79" s="455">
        <f t="shared" si="10"/>
        <v>0</v>
      </c>
      <c r="R79" s="385"/>
    </row>
    <row r="80" spans="1:18" s="205" customFormat="1" ht="14.1" customHeight="1" x14ac:dyDescent="0.2">
      <c r="A80" s="199"/>
      <c r="B80" s="516"/>
      <c r="C80" s="517"/>
      <c r="D80" s="518"/>
      <c r="E80" s="517"/>
      <c r="F80" s="519"/>
      <c r="G80" s="648">
        <f t="shared" si="7"/>
        <v>0</v>
      </c>
      <c r="H80" s="520"/>
      <c r="I80" s="648">
        <f t="shared" si="11"/>
        <v>0</v>
      </c>
      <c r="J80" s="520"/>
      <c r="K80" s="520"/>
      <c r="L80" s="520"/>
      <c r="M80" s="520"/>
      <c r="N80" s="648">
        <f t="shared" si="8"/>
        <v>0</v>
      </c>
      <c r="O80" s="648">
        <f t="shared" si="12"/>
        <v>0</v>
      </c>
      <c r="P80" s="649">
        <f t="shared" si="9"/>
        <v>0</v>
      </c>
      <c r="Q80" s="455">
        <f t="shared" si="10"/>
        <v>0</v>
      </c>
      <c r="R80" s="385"/>
    </row>
    <row r="81" spans="1:21" s="205" customFormat="1" ht="14.1" customHeight="1" x14ac:dyDescent="0.2">
      <c r="A81" s="199"/>
      <c r="B81" s="516"/>
      <c r="C81" s="517"/>
      <c r="D81" s="518"/>
      <c r="E81" s="517"/>
      <c r="F81" s="519"/>
      <c r="G81" s="648">
        <f t="shared" si="7"/>
        <v>0</v>
      </c>
      <c r="H81" s="520"/>
      <c r="I81" s="648">
        <f t="shared" si="11"/>
        <v>0</v>
      </c>
      <c r="J81" s="520"/>
      <c r="K81" s="520"/>
      <c r="L81" s="520"/>
      <c r="M81" s="520"/>
      <c r="N81" s="648">
        <f t="shared" si="8"/>
        <v>0</v>
      </c>
      <c r="O81" s="648">
        <f t="shared" si="12"/>
        <v>0</v>
      </c>
      <c r="P81" s="649">
        <f t="shared" si="9"/>
        <v>0</v>
      </c>
      <c r="Q81" s="455">
        <f t="shared" si="10"/>
        <v>0</v>
      </c>
      <c r="R81" s="385"/>
    </row>
    <row r="82" spans="1:21" s="205" customFormat="1" ht="14.1" customHeight="1" x14ac:dyDescent="0.2">
      <c r="A82" s="199"/>
      <c r="B82" s="516"/>
      <c r="C82" s="517"/>
      <c r="D82" s="518"/>
      <c r="E82" s="517"/>
      <c r="F82" s="519"/>
      <c r="G82" s="648">
        <f t="shared" si="7"/>
        <v>0</v>
      </c>
      <c r="H82" s="520"/>
      <c r="I82" s="648">
        <f t="shared" si="11"/>
        <v>0</v>
      </c>
      <c r="J82" s="520"/>
      <c r="K82" s="520"/>
      <c r="L82" s="520"/>
      <c r="M82" s="520"/>
      <c r="N82" s="648">
        <f t="shared" si="8"/>
        <v>0</v>
      </c>
      <c r="O82" s="648">
        <f t="shared" si="12"/>
        <v>0</v>
      </c>
      <c r="P82" s="649">
        <f t="shared" si="9"/>
        <v>0</v>
      </c>
      <c r="Q82" s="455">
        <f t="shared" si="10"/>
        <v>0</v>
      </c>
      <c r="R82" s="385"/>
    </row>
    <row r="83" spans="1:21" s="205" customFormat="1" ht="14.1" customHeight="1" x14ac:dyDescent="0.2">
      <c r="A83" s="199"/>
      <c r="B83" s="516"/>
      <c r="C83" s="517"/>
      <c r="D83" s="518"/>
      <c r="E83" s="517"/>
      <c r="F83" s="519"/>
      <c r="G83" s="648">
        <f t="shared" si="7"/>
        <v>0</v>
      </c>
      <c r="H83" s="520"/>
      <c r="I83" s="648">
        <f t="shared" si="11"/>
        <v>0</v>
      </c>
      <c r="J83" s="520"/>
      <c r="K83" s="520"/>
      <c r="L83" s="520"/>
      <c r="M83" s="520"/>
      <c r="N83" s="648">
        <f t="shared" si="8"/>
        <v>0</v>
      </c>
      <c r="O83" s="648">
        <f t="shared" si="12"/>
        <v>0</v>
      </c>
      <c r="P83" s="649">
        <f t="shared" si="9"/>
        <v>0</v>
      </c>
      <c r="Q83" s="455">
        <f t="shared" si="10"/>
        <v>0</v>
      </c>
      <c r="R83" s="385"/>
    </row>
    <row r="84" spans="1:21" s="205" customFormat="1" ht="14.1" customHeight="1" thickBot="1" x14ac:dyDescent="0.25">
      <c r="A84" s="199"/>
      <c r="B84" s="516"/>
      <c r="C84" s="517"/>
      <c r="D84" s="521"/>
      <c r="E84" s="517"/>
      <c r="F84" s="522"/>
      <c r="G84" s="648">
        <f t="shared" si="7"/>
        <v>0</v>
      </c>
      <c r="H84" s="520"/>
      <c r="I84" s="648">
        <f t="shared" si="11"/>
        <v>0</v>
      </c>
      <c r="J84" s="520"/>
      <c r="K84" s="520"/>
      <c r="L84" s="520"/>
      <c r="M84" s="520"/>
      <c r="N84" s="648">
        <f t="shared" si="8"/>
        <v>0</v>
      </c>
      <c r="O84" s="648">
        <f t="shared" si="12"/>
        <v>0</v>
      </c>
      <c r="P84" s="649">
        <f t="shared" si="9"/>
        <v>0</v>
      </c>
      <c r="Q84" s="455">
        <f t="shared" si="10"/>
        <v>0</v>
      </c>
      <c r="R84" s="385"/>
    </row>
    <row r="85" spans="1:21" s="205" customFormat="1" ht="14.1" customHeight="1" thickBot="1" x14ac:dyDescent="0.25">
      <c r="A85" s="199"/>
      <c r="C85" s="60"/>
      <c r="D85" s="386">
        <f>SUM(D70:D84)</f>
        <v>0</v>
      </c>
      <c r="E85" s="60"/>
      <c r="F85" s="403">
        <f>SUM(F70:F84)</f>
        <v>0</v>
      </c>
      <c r="G85" s="385" t="str">
        <f>IF(D85&gt;0,IF(F85/D85&gt;Df_Os,"Let op. Waarde komt boven de defaultwaarde van € "&amp;TEXT(Df_Os,"0.00")&amp;" uit. Dit is alleen toegestaan met een degelijke onderbouwing in het projectplan en middels offertes en/of kostenramingen.",""),"")</f>
        <v/>
      </c>
      <c r="H85" s="60"/>
      <c r="I85" s="74"/>
      <c r="J85" s="60"/>
      <c r="K85" s="62"/>
      <c r="L85" s="60"/>
      <c r="M85" s="60"/>
      <c r="N85" s="60"/>
      <c r="O85" s="60"/>
      <c r="P85" s="60"/>
      <c r="R85" s="60"/>
      <c r="S85" s="60"/>
      <c r="T85" s="60"/>
    </row>
    <row r="86" spans="1:21" s="205" customFormat="1" ht="14.1" customHeight="1" thickBot="1" x14ac:dyDescent="0.25">
      <c r="A86" s="199"/>
      <c r="B86" s="388" t="s">
        <v>149</v>
      </c>
      <c r="C86" s="389"/>
      <c r="D86" s="389"/>
      <c r="E86" s="389"/>
      <c r="F86" s="389"/>
      <c r="G86" s="389"/>
      <c r="H86" s="389"/>
      <c r="I86" s="389"/>
      <c r="J86" s="389"/>
      <c r="K86" s="389"/>
      <c r="L86" s="389"/>
      <c r="M86" s="389"/>
      <c r="N86" s="389"/>
      <c r="O86" s="389"/>
      <c r="P86" s="392"/>
      <c r="Q86" s="458">
        <f>SUM(Q70:Q84)</f>
        <v>0</v>
      </c>
      <c r="R86" s="60"/>
      <c r="S86" s="60"/>
      <c r="T86" s="60"/>
      <c r="U86" s="60"/>
    </row>
    <row r="87" spans="1:21" ht="14.1" customHeight="1" x14ac:dyDescent="0.15">
      <c r="I87" s="74"/>
    </row>
    <row r="88" spans="1:21" s="205" customFormat="1" ht="14.25" x14ac:dyDescent="0.2">
      <c r="A88" s="199"/>
      <c r="B88" s="200" t="s">
        <v>91</v>
      </c>
      <c r="C88" s="200"/>
      <c r="D88" s="206"/>
      <c r="E88" s="207"/>
      <c r="F88" s="213"/>
      <c r="G88" s="213"/>
      <c r="H88" s="213"/>
      <c r="I88" s="214"/>
      <c r="J88" s="214"/>
      <c r="K88" s="214"/>
      <c r="L88" s="214"/>
      <c r="M88" s="214"/>
      <c r="N88" s="214"/>
      <c r="O88" s="214"/>
      <c r="P88" s="214"/>
      <c r="Q88" s="214"/>
    </row>
    <row r="89" spans="1:21" s="198" customFormat="1" ht="11.25" customHeight="1" x14ac:dyDescent="0.15">
      <c r="A89" s="238"/>
      <c r="B89" s="427"/>
      <c r="C89" s="428"/>
      <c r="D89" s="428"/>
      <c r="E89" s="428"/>
      <c r="F89" s="428"/>
      <c r="G89" s="429"/>
      <c r="H89" s="944" t="s">
        <v>166</v>
      </c>
      <c r="I89" s="944"/>
      <c r="J89" s="944"/>
      <c r="K89" s="945"/>
      <c r="L89" s="946" t="s">
        <v>182</v>
      </c>
      <c r="M89" s="945"/>
      <c r="N89" s="944" t="s">
        <v>146</v>
      </c>
      <c r="O89" s="944"/>
      <c r="P89" s="944"/>
      <c r="Q89" s="945"/>
      <c r="R89" s="81"/>
      <c r="S89" s="81"/>
      <c r="T89" s="81"/>
      <c r="U89" s="81"/>
    </row>
    <row r="90" spans="1:21" s="81" customFormat="1" ht="56.25" x14ac:dyDescent="0.15">
      <c r="A90" s="262"/>
      <c r="B90" s="257" t="s">
        <v>138</v>
      </c>
      <c r="C90" s="257" t="s">
        <v>163</v>
      </c>
      <c r="D90" s="257" t="s">
        <v>454</v>
      </c>
      <c r="E90" s="258" t="s">
        <v>153</v>
      </c>
      <c r="F90" s="258" t="s">
        <v>580</v>
      </c>
      <c r="G90" s="259" t="s">
        <v>145</v>
      </c>
      <c r="H90" s="540" t="s">
        <v>167</v>
      </c>
      <c r="I90" s="720" t="s">
        <v>590</v>
      </c>
      <c r="J90" s="720" t="s">
        <v>455</v>
      </c>
      <c r="K90" s="720" t="s">
        <v>581</v>
      </c>
      <c r="L90" s="721" t="s">
        <v>591</v>
      </c>
      <c r="M90" s="542" t="s">
        <v>592</v>
      </c>
      <c r="N90" s="540" t="s">
        <v>198</v>
      </c>
      <c r="O90" s="543" t="s">
        <v>197</v>
      </c>
      <c r="P90" s="543" t="s">
        <v>582</v>
      </c>
      <c r="Q90" s="541" t="s">
        <v>144</v>
      </c>
    </row>
    <row r="91" spans="1:21" s="198" customFormat="1" ht="14.1" customHeight="1" x14ac:dyDescent="0.15">
      <c r="A91" s="238"/>
      <c r="B91" s="516"/>
      <c r="C91" s="517"/>
      <c r="D91" s="518"/>
      <c r="E91" s="517"/>
      <c r="F91" s="519"/>
      <c r="G91" s="648">
        <f>+I91+K91+L91+M91</f>
        <v>0</v>
      </c>
      <c r="H91" s="520"/>
      <c r="I91" s="648">
        <f>+H91*6</f>
        <v>0</v>
      </c>
      <c r="J91" s="520"/>
      <c r="K91" s="520"/>
      <c r="L91" s="520"/>
      <c r="M91" s="520"/>
      <c r="N91" s="648">
        <f>+I91+K91</f>
        <v>0</v>
      </c>
      <c r="O91" s="648">
        <f t="shared" ref="O91:O107" si="13">+L91+M91</f>
        <v>0</v>
      </c>
      <c r="P91" s="649">
        <f>IFERROR(F91/G91*O91,0)</f>
        <v>0</v>
      </c>
      <c r="Q91" s="455">
        <f t="shared" ref="Q91:Q107" si="14">IFERROR(F91/G91*N91,0)</f>
        <v>0</v>
      </c>
    </row>
    <row r="92" spans="1:21" s="198" customFormat="1" ht="14.1" customHeight="1" x14ac:dyDescent="0.15">
      <c r="A92" s="238"/>
      <c r="B92" s="516"/>
      <c r="C92" s="517"/>
      <c r="D92" s="518"/>
      <c r="E92" s="517"/>
      <c r="F92" s="519"/>
      <c r="G92" s="648">
        <f t="shared" ref="G92:G107" si="15">+I92+K92+L92+M92</f>
        <v>0</v>
      </c>
      <c r="H92" s="520"/>
      <c r="I92" s="648">
        <f t="shared" ref="I92:I107" si="16">+H92*6</f>
        <v>0</v>
      </c>
      <c r="J92" s="520"/>
      <c r="K92" s="520"/>
      <c r="L92" s="520"/>
      <c r="M92" s="520"/>
      <c r="N92" s="648">
        <f t="shared" ref="N92:N107" si="17">+I92+K92</f>
        <v>0</v>
      </c>
      <c r="O92" s="648">
        <f t="shared" si="13"/>
        <v>0</v>
      </c>
      <c r="P92" s="649">
        <f t="shared" ref="P92:P107" si="18">IFERROR(F92/G92*O92,0)</f>
        <v>0</v>
      </c>
      <c r="Q92" s="455">
        <f t="shared" si="14"/>
        <v>0</v>
      </c>
      <c r="R92" s="385"/>
    </row>
    <row r="93" spans="1:21" s="198" customFormat="1" ht="14.1" customHeight="1" x14ac:dyDescent="0.15">
      <c r="A93" s="238"/>
      <c r="B93" s="516"/>
      <c r="C93" s="517"/>
      <c r="D93" s="518"/>
      <c r="E93" s="517"/>
      <c r="F93" s="519"/>
      <c r="G93" s="648">
        <f t="shared" si="15"/>
        <v>0</v>
      </c>
      <c r="H93" s="520"/>
      <c r="I93" s="648">
        <f t="shared" si="16"/>
        <v>0</v>
      </c>
      <c r="J93" s="520"/>
      <c r="K93" s="520"/>
      <c r="L93" s="520"/>
      <c r="M93" s="520"/>
      <c r="N93" s="648">
        <f t="shared" si="17"/>
        <v>0</v>
      </c>
      <c r="O93" s="648">
        <f t="shared" si="13"/>
        <v>0</v>
      </c>
      <c r="P93" s="649">
        <f t="shared" si="18"/>
        <v>0</v>
      </c>
      <c r="Q93" s="455">
        <f t="shared" si="14"/>
        <v>0</v>
      </c>
      <c r="R93" s="385"/>
    </row>
    <row r="94" spans="1:21" s="198" customFormat="1" ht="14.1" customHeight="1" x14ac:dyDescent="0.15">
      <c r="A94" s="238"/>
      <c r="B94" s="516"/>
      <c r="C94" s="517"/>
      <c r="D94" s="518"/>
      <c r="E94" s="517"/>
      <c r="F94" s="519"/>
      <c r="G94" s="648">
        <f t="shared" si="15"/>
        <v>0</v>
      </c>
      <c r="H94" s="520"/>
      <c r="I94" s="648">
        <f t="shared" si="16"/>
        <v>0</v>
      </c>
      <c r="J94" s="520"/>
      <c r="K94" s="520"/>
      <c r="L94" s="520"/>
      <c r="M94" s="520"/>
      <c r="N94" s="648">
        <f t="shared" si="17"/>
        <v>0</v>
      </c>
      <c r="O94" s="648">
        <f t="shared" si="13"/>
        <v>0</v>
      </c>
      <c r="P94" s="649">
        <f t="shared" si="18"/>
        <v>0</v>
      </c>
      <c r="Q94" s="455">
        <f t="shared" si="14"/>
        <v>0</v>
      </c>
      <c r="R94" s="385"/>
    </row>
    <row r="95" spans="1:21" s="198" customFormat="1" ht="14.1" customHeight="1" x14ac:dyDescent="0.15">
      <c r="A95" s="238"/>
      <c r="B95" s="516"/>
      <c r="C95" s="517"/>
      <c r="D95" s="518"/>
      <c r="E95" s="517"/>
      <c r="F95" s="519"/>
      <c r="G95" s="648">
        <f t="shared" si="15"/>
        <v>0</v>
      </c>
      <c r="H95" s="520"/>
      <c r="I95" s="648">
        <f t="shared" si="16"/>
        <v>0</v>
      </c>
      <c r="J95" s="520"/>
      <c r="K95" s="520"/>
      <c r="L95" s="520"/>
      <c r="M95" s="520"/>
      <c r="N95" s="648">
        <f t="shared" si="17"/>
        <v>0</v>
      </c>
      <c r="O95" s="648">
        <f t="shared" si="13"/>
        <v>0</v>
      </c>
      <c r="P95" s="649">
        <f t="shared" si="18"/>
        <v>0</v>
      </c>
      <c r="Q95" s="455">
        <f t="shared" si="14"/>
        <v>0</v>
      </c>
      <c r="R95" s="385"/>
    </row>
    <row r="96" spans="1:21" s="198" customFormat="1" ht="14.1" customHeight="1" x14ac:dyDescent="0.15">
      <c r="A96" s="238"/>
      <c r="B96" s="516"/>
      <c r="C96" s="517"/>
      <c r="D96" s="518"/>
      <c r="E96" s="517"/>
      <c r="F96" s="519"/>
      <c r="G96" s="648">
        <f t="shared" si="15"/>
        <v>0</v>
      </c>
      <c r="H96" s="520"/>
      <c r="I96" s="648">
        <f t="shared" si="16"/>
        <v>0</v>
      </c>
      <c r="J96" s="520"/>
      <c r="K96" s="520"/>
      <c r="L96" s="520"/>
      <c r="M96" s="520"/>
      <c r="N96" s="648">
        <f t="shared" si="17"/>
        <v>0</v>
      </c>
      <c r="O96" s="648">
        <f t="shared" si="13"/>
        <v>0</v>
      </c>
      <c r="P96" s="649">
        <f t="shared" si="18"/>
        <v>0</v>
      </c>
      <c r="Q96" s="455">
        <f t="shared" si="14"/>
        <v>0</v>
      </c>
      <c r="R96" s="385"/>
    </row>
    <row r="97" spans="1:21" s="198" customFormat="1" ht="14.1" customHeight="1" x14ac:dyDescent="0.15">
      <c r="A97" s="238"/>
      <c r="B97" s="516"/>
      <c r="C97" s="517"/>
      <c r="D97" s="518"/>
      <c r="E97" s="517"/>
      <c r="F97" s="519"/>
      <c r="G97" s="648">
        <f t="shared" si="15"/>
        <v>0</v>
      </c>
      <c r="H97" s="520"/>
      <c r="I97" s="648">
        <f t="shared" si="16"/>
        <v>0</v>
      </c>
      <c r="J97" s="520"/>
      <c r="K97" s="520"/>
      <c r="L97" s="520"/>
      <c r="M97" s="520"/>
      <c r="N97" s="648">
        <f t="shared" si="17"/>
        <v>0</v>
      </c>
      <c r="O97" s="648">
        <f t="shared" si="13"/>
        <v>0</v>
      </c>
      <c r="P97" s="649">
        <f t="shared" si="18"/>
        <v>0</v>
      </c>
      <c r="Q97" s="455">
        <f t="shared" si="14"/>
        <v>0</v>
      </c>
      <c r="R97" s="385"/>
    </row>
    <row r="98" spans="1:21" s="198" customFormat="1" ht="14.1" customHeight="1" x14ac:dyDescent="0.15">
      <c r="A98" s="238"/>
      <c r="B98" s="516"/>
      <c r="C98" s="517"/>
      <c r="D98" s="518"/>
      <c r="E98" s="517"/>
      <c r="F98" s="519"/>
      <c r="G98" s="648">
        <f t="shared" si="15"/>
        <v>0</v>
      </c>
      <c r="H98" s="520"/>
      <c r="I98" s="648">
        <f t="shared" si="16"/>
        <v>0</v>
      </c>
      <c r="J98" s="520"/>
      <c r="K98" s="520"/>
      <c r="L98" s="520"/>
      <c r="M98" s="520"/>
      <c r="N98" s="648">
        <f t="shared" si="17"/>
        <v>0</v>
      </c>
      <c r="O98" s="648">
        <f t="shared" si="13"/>
        <v>0</v>
      </c>
      <c r="P98" s="649">
        <f t="shared" si="18"/>
        <v>0</v>
      </c>
      <c r="Q98" s="455">
        <f t="shared" si="14"/>
        <v>0</v>
      </c>
      <c r="R98" s="385"/>
    </row>
    <row r="99" spans="1:21" s="198" customFormat="1" ht="14.1" customHeight="1" x14ac:dyDescent="0.15">
      <c r="A99" s="238"/>
      <c r="B99" s="516"/>
      <c r="C99" s="517"/>
      <c r="D99" s="518"/>
      <c r="E99" s="517"/>
      <c r="F99" s="519"/>
      <c r="G99" s="648">
        <f t="shared" si="15"/>
        <v>0</v>
      </c>
      <c r="H99" s="520"/>
      <c r="I99" s="648">
        <f t="shared" si="16"/>
        <v>0</v>
      </c>
      <c r="J99" s="520"/>
      <c r="K99" s="520"/>
      <c r="L99" s="520"/>
      <c r="M99" s="520"/>
      <c r="N99" s="648">
        <f t="shared" si="17"/>
        <v>0</v>
      </c>
      <c r="O99" s="648">
        <f t="shared" si="13"/>
        <v>0</v>
      </c>
      <c r="P99" s="649">
        <f t="shared" si="18"/>
        <v>0</v>
      </c>
      <c r="Q99" s="455">
        <f t="shared" si="14"/>
        <v>0</v>
      </c>
      <c r="R99" s="385"/>
    </row>
    <row r="100" spans="1:21" s="198" customFormat="1" ht="14.1" customHeight="1" x14ac:dyDescent="0.15">
      <c r="A100" s="238"/>
      <c r="B100" s="516"/>
      <c r="C100" s="517"/>
      <c r="D100" s="518"/>
      <c r="E100" s="517"/>
      <c r="F100" s="519"/>
      <c r="G100" s="648">
        <f t="shared" si="15"/>
        <v>0</v>
      </c>
      <c r="H100" s="520"/>
      <c r="I100" s="648">
        <f t="shared" si="16"/>
        <v>0</v>
      </c>
      <c r="J100" s="520"/>
      <c r="K100" s="520"/>
      <c r="L100" s="520"/>
      <c r="M100" s="520"/>
      <c r="N100" s="648">
        <f t="shared" si="17"/>
        <v>0</v>
      </c>
      <c r="O100" s="648">
        <f t="shared" si="13"/>
        <v>0</v>
      </c>
      <c r="P100" s="649">
        <f t="shared" si="18"/>
        <v>0</v>
      </c>
      <c r="Q100" s="455">
        <f t="shared" si="14"/>
        <v>0</v>
      </c>
      <c r="R100" s="385"/>
    </row>
    <row r="101" spans="1:21" s="198" customFormat="1" ht="14.1" customHeight="1" x14ac:dyDescent="0.15">
      <c r="A101" s="238"/>
      <c r="B101" s="516"/>
      <c r="C101" s="517"/>
      <c r="D101" s="518"/>
      <c r="E101" s="517"/>
      <c r="F101" s="519"/>
      <c r="G101" s="648">
        <f t="shared" si="15"/>
        <v>0</v>
      </c>
      <c r="H101" s="520"/>
      <c r="I101" s="648">
        <f t="shared" si="16"/>
        <v>0</v>
      </c>
      <c r="J101" s="520"/>
      <c r="K101" s="520"/>
      <c r="L101" s="520"/>
      <c r="M101" s="520"/>
      <c r="N101" s="648">
        <f t="shared" si="17"/>
        <v>0</v>
      </c>
      <c r="O101" s="648">
        <f t="shared" si="13"/>
        <v>0</v>
      </c>
      <c r="P101" s="649">
        <f t="shared" si="18"/>
        <v>0</v>
      </c>
      <c r="Q101" s="455">
        <f t="shared" si="14"/>
        <v>0</v>
      </c>
      <c r="R101" s="385"/>
    </row>
    <row r="102" spans="1:21" s="198" customFormat="1" ht="14.1" customHeight="1" x14ac:dyDescent="0.15">
      <c r="A102" s="238"/>
      <c r="B102" s="516"/>
      <c r="C102" s="517"/>
      <c r="D102" s="518"/>
      <c r="E102" s="517"/>
      <c r="F102" s="519"/>
      <c r="G102" s="648">
        <f t="shared" si="15"/>
        <v>0</v>
      </c>
      <c r="H102" s="520"/>
      <c r="I102" s="648">
        <f t="shared" si="16"/>
        <v>0</v>
      </c>
      <c r="J102" s="520"/>
      <c r="K102" s="520"/>
      <c r="L102" s="520"/>
      <c r="M102" s="520"/>
      <c r="N102" s="648">
        <f t="shared" si="17"/>
        <v>0</v>
      </c>
      <c r="O102" s="648">
        <f t="shared" si="13"/>
        <v>0</v>
      </c>
      <c r="P102" s="649">
        <f t="shared" si="18"/>
        <v>0</v>
      </c>
      <c r="Q102" s="455">
        <f t="shared" si="14"/>
        <v>0</v>
      </c>
      <c r="R102" s="385"/>
    </row>
    <row r="103" spans="1:21" s="198" customFormat="1" ht="14.1" customHeight="1" x14ac:dyDescent="0.15">
      <c r="A103" s="238"/>
      <c r="B103" s="516"/>
      <c r="C103" s="517"/>
      <c r="D103" s="518"/>
      <c r="E103" s="517"/>
      <c r="F103" s="519"/>
      <c r="G103" s="648">
        <f t="shared" si="15"/>
        <v>0</v>
      </c>
      <c r="H103" s="520"/>
      <c r="I103" s="648">
        <f t="shared" si="16"/>
        <v>0</v>
      </c>
      <c r="J103" s="520"/>
      <c r="K103" s="520"/>
      <c r="L103" s="520"/>
      <c r="M103" s="520"/>
      <c r="N103" s="648">
        <f t="shared" si="17"/>
        <v>0</v>
      </c>
      <c r="O103" s="648">
        <f t="shared" si="13"/>
        <v>0</v>
      </c>
      <c r="P103" s="649">
        <f t="shared" si="18"/>
        <v>0</v>
      </c>
      <c r="Q103" s="455">
        <f t="shared" si="14"/>
        <v>0</v>
      </c>
      <c r="R103" s="385"/>
    </row>
    <row r="104" spans="1:21" s="198" customFormat="1" ht="14.1" customHeight="1" x14ac:dyDescent="0.15">
      <c r="A104" s="238"/>
      <c r="B104" s="516"/>
      <c r="C104" s="517"/>
      <c r="D104" s="518"/>
      <c r="E104" s="517"/>
      <c r="F104" s="519"/>
      <c r="G104" s="648">
        <f t="shared" si="15"/>
        <v>0</v>
      </c>
      <c r="H104" s="520"/>
      <c r="I104" s="648">
        <f t="shared" si="16"/>
        <v>0</v>
      </c>
      <c r="J104" s="520"/>
      <c r="K104" s="520"/>
      <c r="L104" s="520"/>
      <c r="M104" s="520"/>
      <c r="N104" s="648">
        <f t="shared" si="17"/>
        <v>0</v>
      </c>
      <c r="O104" s="648">
        <f t="shared" si="13"/>
        <v>0</v>
      </c>
      <c r="P104" s="649">
        <f t="shared" si="18"/>
        <v>0</v>
      </c>
      <c r="Q104" s="455">
        <f t="shared" si="14"/>
        <v>0</v>
      </c>
      <c r="R104" s="385"/>
    </row>
    <row r="105" spans="1:21" s="198" customFormat="1" ht="14.1" customHeight="1" x14ac:dyDescent="0.15">
      <c r="A105" s="238"/>
      <c r="B105" s="516"/>
      <c r="C105" s="517"/>
      <c r="D105" s="518"/>
      <c r="E105" s="517"/>
      <c r="F105" s="519"/>
      <c r="G105" s="648">
        <f t="shared" si="15"/>
        <v>0</v>
      </c>
      <c r="H105" s="520"/>
      <c r="I105" s="648">
        <f t="shared" si="16"/>
        <v>0</v>
      </c>
      <c r="J105" s="520"/>
      <c r="K105" s="520"/>
      <c r="L105" s="520"/>
      <c r="M105" s="520"/>
      <c r="N105" s="648">
        <f t="shared" si="17"/>
        <v>0</v>
      </c>
      <c r="O105" s="648">
        <f t="shared" si="13"/>
        <v>0</v>
      </c>
      <c r="P105" s="649">
        <f t="shared" si="18"/>
        <v>0</v>
      </c>
      <c r="Q105" s="455">
        <f t="shared" si="14"/>
        <v>0</v>
      </c>
      <c r="R105" s="385"/>
    </row>
    <row r="106" spans="1:21" s="198" customFormat="1" ht="14.1" customHeight="1" x14ac:dyDescent="0.15">
      <c r="A106" s="238"/>
      <c r="B106" s="516"/>
      <c r="C106" s="517"/>
      <c r="D106" s="518"/>
      <c r="E106" s="517"/>
      <c r="F106" s="519"/>
      <c r="G106" s="648">
        <f t="shared" si="15"/>
        <v>0</v>
      </c>
      <c r="H106" s="520"/>
      <c r="I106" s="648">
        <f t="shared" si="16"/>
        <v>0</v>
      </c>
      <c r="J106" s="520"/>
      <c r="K106" s="520"/>
      <c r="L106" s="520"/>
      <c r="M106" s="520"/>
      <c r="N106" s="648">
        <f t="shared" si="17"/>
        <v>0</v>
      </c>
      <c r="O106" s="648">
        <f t="shared" si="13"/>
        <v>0</v>
      </c>
      <c r="P106" s="649">
        <f t="shared" si="18"/>
        <v>0</v>
      </c>
      <c r="Q106" s="455">
        <f t="shared" si="14"/>
        <v>0</v>
      </c>
      <c r="R106" s="385"/>
    </row>
    <row r="107" spans="1:21" s="198" customFormat="1" ht="14.1" customHeight="1" thickBot="1" x14ac:dyDescent="0.2">
      <c r="A107" s="238"/>
      <c r="B107" s="509"/>
      <c r="C107" s="517"/>
      <c r="D107" s="521"/>
      <c r="E107" s="517"/>
      <c r="F107" s="522"/>
      <c r="G107" s="648">
        <f t="shared" si="15"/>
        <v>0</v>
      </c>
      <c r="H107" s="520"/>
      <c r="I107" s="648">
        <f t="shared" si="16"/>
        <v>0</v>
      </c>
      <c r="J107" s="520"/>
      <c r="K107" s="520"/>
      <c r="L107" s="520"/>
      <c r="M107" s="520"/>
      <c r="N107" s="648">
        <f t="shared" si="17"/>
        <v>0</v>
      </c>
      <c r="O107" s="648">
        <f t="shared" si="13"/>
        <v>0</v>
      </c>
      <c r="P107" s="649">
        <f t="shared" si="18"/>
        <v>0</v>
      </c>
      <c r="Q107" s="455">
        <f t="shared" si="14"/>
        <v>0</v>
      </c>
      <c r="R107" s="385"/>
    </row>
    <row r="108" spans="1:21" s="198" customFormat="1" ht="14.1" customHeight="1" thickBot="1" x14ac:dyDescent="0.2">
      <c r="A108" s="238"/>
      <c r="C108" s="60"/>
      <c r="D108" s="386">
        <f>SUM(D91:D107)</f>
        <v>0</v>
      </c>
      <c r="E108" s="77"/>
      <c r="F108" s="403">
        <f>SUM(F91:F107)</f>
        <v>0</v>
      </c>
      <c r="G108" s="385" t="str">
        <f>IF(D108&gt;0,IF(F108/D108&gt;Df_Sw,"Let op. Waarde komt boven de defaultwaarde van € "&amp;TEXT(Df_Sw,"0.00")&amp;" uit. Dit is alleen toegestaan met een degelijke onderbouwing in het projectplan en middels offertes en/of kostenramingen.",""),"")</f>
        <v/>
      </c>
      <c r="H108" s="83"/>
      <c r="I108" s="83"/>
      <c r="J108" s="60"/>
      <c r="K108" s="62"/>
      <c r="L108" s="60"/>
      <c r="M108" s="60"/>
      <c r="N108" s="60"/>
      <c r="O108" s="60"/>
      <c r="P108" s="60"/>
      <c r="R108" s="60"/>
      <c r="S108" s="60"/>
      <c r="T108" s="60"/>
    </row>
    <row r="109" spans="1:21" s="198" customFormat="1" ht="14.1" customHeight="1" thickBot="1" x14ac:dyDescent="0.2">
      <c r="A109" s="238"/>
      <c r="B109" s="388" t="s">
        <v>151</v>
      </c>
      <c r="C109" s="393"/>
      <c r="D109" s="393"/>
      <c r="E109" s="393"/>
      <c r="F109" s="393"/>
      <c r="G109" s="393"/>
      <c r="H109" s="393"/>
      <c r="I109" s="393"/>
      <c r="J109" s="394"/>
      <c r="K109" s="395"/>
      <c r="L109" s="396"/>
      <c r="M109" s="396"/>
      <c r="N109" s="396"/>
      <c r="O109" s="396"/>
      <c r="P109" s="397"/>
      <c r="Q109" s="458">
        <f>SUM(Q91:Q107)</f>
        <v>0</v>
      </c>
    </row>
    <row r="110" spans="1:21" s="215" customFormat="1" ht="14.25" x14ac:dyDescent="0.2"/>
    <row r="111" spans="1:21" s="215" customFormat="1" ht="14.25" customHeight="1" x14ac:dyDescent="0.2">
      <c r="B111" s="200" t="s">
        <v>92</v>
      </c>
      <c r="C111" s="200"/>
      <c r="D111" s="206"/>
      <c r="E111" s="207"/>
      <c r="F111" s="213"/>
      <c r="G111" s="213"/>
      <c r="H111" s="213"/>
      <c r="I111" s="214"/>
      <c r="J111" s="214"/>
      <c r="K111" s="214"/>
      <c r="L111" s="214"/>
      <c r="M111" s="214"/>
      <c r="N111" s="214"/>
      <c r="O111" s="214"/>
      <c r="P111" s="214"/>
      <c r="Q111" s="214"/>
      <c r="R111"/>
      <c r="S111" s="264"/>
      <c r="T111" s="264"/>
      <c r="U111" s="264"/>
    </row>
    <row r="112" spans="1:21" s="264" customFormat="1" ht="67.5" x14ac:dyDescent="0.2">
      <c r="B112" s="306" t="s">
        <v>138</v>
      </c>
      <c r="C112" s="310" t="s">
        <v>162</v>
      </c>
      <c r="D112" s="307" t="s">
        <v>167</v>
      </c>
      <c r="E112" s="307" t="s">
        <v>602</v>
      </c>
      <c r="F112" s="540" t="s">
        <v>154</v>
      </c>
      <c r="G112" s="540" t="s">
        <v>407</v>
      </c>
      <c r="H112" s="381"/>
      <c r="I112" s="381"/>
      <c r="J112" s="381"/>
      <c r="K112" s="381"/>
      <c r="L112" s="381"/>
      <c r="M112" s="381"/>
      <c r="N112" s="381"/>
      <c r="O112" s="381"/>
      <c r="P112" s="382"/>
      <c r="Q112" s="541" t="s">
        <v>144</v>
      </c>
    </row>
    <row r="113" spans="2:17" s="215" customFormat="1" ht="14.1" customHeight="1" x14ac:dyDescent="0.2">
      <c r="B113" s="516"/>
      <c r="C113" s="510"/>
      <c r="D113" s="520"/>
      <c r="E113" s="517"/>
      <c r="F113" s="519"/>
      <c r="G113" s="519"/>
      <c r="H113" s="523"/>
      <c r="I113" s="523"/>
      <c r="J113" s="523"/>
      <c r="K113" s="523"/>
      <c r="L113" s="523"/>
      <c r="M113" s="523"/>
      <c r="N113" s="523"/>
      <c r="O113" s="523"/>
      <c r="P113" s="524"/>
      <c r="Q113" s="455">
        <f>D113*(F113+G113)</f>
        <v>0</v>
      </c>
    </row>
    <row r="114" spans="2:17" s="215" customFormat="1" ht="14.1" customHeight="1" x14ac:dyDescent="0.2">
      <c r="B114" s="516"/>
      <c r="C114" s="510"/>
      <c r="D114" s="520"/>
      <c r="E114" s="517"/>
      <c r="F114" s="519"/>
      <c r="G114" s="519"/>
      <c r="H114" s="523"/>
      <c r="I114" s="523"/>
      <c r="J114" s="523"/>
      <c r="K114" s="523"/>
      <c r="L114" s="523"/>
      <c r="M114" s="523"/>
      <c r="N114" s="523"/>
      <c r="O114" s="523"/>
      <c r="P114" s="524"/>
      <c r="Q114" s="455">
        <f t="shared" ref="Q114:Q129" si="19">D114*(F114+G114)</f>
        <v>0</v>
      </c>
    </row>
    <row r="115" spans="2:17" s="215" customFormat="1" ht="14.1" customHeight="1" x14ac:dyDescent="0.2">
      <c r="B115" s="516"/>
      <c r="C115" s="510"/>
      <c r="D115" s="520"/>
      <c r="E115" s="517"/>
      <c r="F115" s="519"/>
      <c r="G115" s="519"/>
      <c r="H115" s="523"/>
      <c r="I115" s="523"/>
      <c r="J115" s="523"/>
      <c r="K115" s="523"/>
      <c r="L115" s="523"/>
      <c r="M115" s="523"/>
      <c r="N115" s="523"/>
      <c r="O115" s="523"/>
      <c r="P115" s="524"/>
      <c r="Q115" s="455">
        <f t="shared" si="19"/>
        <v>0</v>
      </c>
    </row>
    <row r="116" spans="2:17" s="215" customFormat="1" ht="14.1" customHeight="1" x14ac:dyDescent="0.2">
      <c r="B116" s="516"/>
      <c r="C116" s="510"/>
      <c r="D116" s="518"/>
      <c r="E116" s="517"/>
      <c r="F116" s="519"/>
      <c r="G116" s="519"/>
      <c r="H116" s="523"/>
      <c r="I116" s="523"/>
      <c r="J116" s="523"/>
      <c r="K116" s="523"/>
      <c r="L116" s="523"/>
      <c r="M116" s="523"/>
      <c r="N116" s="523"/>
      <c r="O116" s="523"/>
      <c r="P116" s="524"/>
      <c r="Q116" s="455">
        <f t="shared" si="19"/>
        <v>0</v>
      </c>
    </row>
    <row r="117" spans="2:17" s="215" customFormat="1" ht="14.1" customHeight="1" x14ac:dyDescent="0.2">
      <c r="B117" s="516"/>
      <c r="C117" s="510"/>
      <c r="D117" s="518"/>
      <c r="E117" s="517"/>
      <c r="F117" s="519"/>
      <c r="G117" s="519"/>
      <c r="H117" s="523"/>
      <c r="I117" s="523"/>
      <c r="J117" s="523"/>
      <c r="K117" s="523"/>
      <c r="L117" s="523"/>
      <c r="M117" s="523"/>
      <c r="N117" s="523"/>
      <c r="O117" s="523"/>
      <c r="P117" s="524"/>
      <c r="Q117" s="455">
        <f t="shared" si="19"/>
        <v>0</v>
      </c>
    </row>
    <row r="118" spans="2:17" s="215" customFormat="1" ht="14.1" customHeight="1" x14ac:dyDescent="0.2">
      <c r="B118" s="516"/>
      <c r="C118" s="510"/>
      <c r="D118" s="518"/>
      <c r="E118" s="517"/>
      <c r="F118" s="519"/>
      <c r="G118" s="519"/>
      <c r="H118" s="523"/>
      <c r="I118" s="523"/>
      <c r="J118" s="523"/>
      <c r="K118" s="523"/>
      <c r="L118" s="523"/>
      <c r="M118" s="523"/>
      <c r="N118" s="523"/>
      <c r="O118" s="523"/>
      <c r="P118" s="524"/>
      <c r="Q118" s="455">
        <f t="shared" si="19"/>
        <v>0</v>
      </c>
    </row>
    <row r="119" spans="2:17" s="215" customFormat="1" ht="14.1" customHeight="1" x14ac:dyDescent="0.2">
      <c r="B119" s="516"/>
      <c r="C119" s="510"/>
      <c r="D119" s="518"/>
      <c r="E119" s="517"/>
      <c r="F119" s="519"/>
      <c r="G119" s="519"/>
      <c r="H119" s="523"/>
      <c r="I119" s="523"/>
      <c r="J119" s="523"/>
      <c r="K119" s="523"/>
      <c r="L119" s="523"/>
      <c r="M119" s="523"/>
      <c r="N119" s="523"/>
      <c r="O119" s="523"/>
      <c r="P119" s="524"/>
      <c r="Q119" s="455">
        <f t="shared" si="19"/>
        <v>0</v>
      </c>
    </row>
    <row r="120" spans="2:17" s="215" customFormat="1" ht="14.1" customHeight="1" x14ac:dyDescent="0.2">
      <c r="B120" s="516"/>
      <c r="C120" s="510"/>
      <c r="D120" s="518"/>
      <c r="E120" s="517"/>
      <c r="F120" s="519"/>
      <c r="G120" s="519"/>
      <c r="H120" s="523"/>
      <c r="I120" s="523"/>
      <c r="J120" s="523"/>
      <c r="K120" s="523"/>
      <c r="L120" s="523"/>
      <c r="M120" s="523"/>
      <c r="N120" s="523"/>
      <c r="O120" s="523"/>
      <c r="P120" s="524"/>
      <c r="Q120" s="455">
        <f t="shared" si="19"/>
        <v>0</v>
      </c>
    </row>
    <row r="121" spans="2:17" s="215" customFormat="1" ht="14.1" customHeight="1" x14ac:dyDescent="0.2">
      <c r="B121" s="516"/>
      <c r="C121" s="510"/>
      <c r="D121" s="518"/>
      <c r="E121" s="517"/>
      <c r="F121" s="519"/>
      <c r="G121" s="519"/>
      <c r="H121" s="523"/>
      <c r="I121" s="523"/>
      <c r="J121" s="523"/>
      <c r="K121" s="523"/>
      <c r="L121" s="523"/>
      <c r="M121" s="523"/>
      <c r="N121" s="523"/>
      <c r="O121" s="523"/>
      <c r="P121" s="524"/>
      <c r="Q121" s="455">
        <f t="shared" si="19"/>
        <v>0</v>
      </c>
    </row>
    <row r="122" spans="2:17" s="215" customFormat="1" ht="14.1" customHeight="1" x14ac:dyDescent="0.2">
      <c r="B122" s="516"/>
      <c r="C122" s="510"/>
      <c r="D122" s="518"/>
      <c r="E122" s="517"/>
      <c r="F122" s="519"/>
      <c r="G122" s="519"/>
      <c r="H122" s="523"/>
      <c r="I122" s="523"/>
      <c r="J122" s="523"/>
      <c r="K122" s="523"/>
      <c r="L122" s="523"/>
      <c r="M122" s="523"/>
      <c r="N122" s="523"/>
      <c r="O122" s="523"/>
      <c r="P122" s="524"/>
      <c r="Q122" s="455">
        <f t="shared" si="19"/>
        <v>0</v>
      </c>
    </row>
    <row r="123" spans="2:17" s="215" customFormat="1" ht="14.1" customHeight="1" x14ac:dyDescent="0.2">
      <c r="B123" s="516"/>
      <c r="C123" s="510"/>
      <c r="D123" s="518"/>
      <c r="E123" s="517"/>
      <c r="F123" s="519"/>
      <c r="G123" s="519"/>
      <c r="H123" s="523"/>
      <c r="I123" s="523"/>
      <c r="J123" s="523"/>
      <c r="K123" s="523"/>
      <c r="L123" s="523"/>
      <c r="M123" s="523"/>
      <c r="N123" s="523"/>
      <c r="O123" s="523"/>
      <c r="P123" s="524"/>
      <c r="Q123" s="455">
        <f t="shared" si="19"/>
        <v>0</v>
      </c>
    </row>
    <row r="124" spans="2:17" s="215" customFormat="1" ht="14.1" customHeight="1" x14ac:dyDescent="0.2">
      <c r="B124" s="516"/>
      <c r="C124" s="510"/>
      <c r="D124" s="518"/>
      <c r="E124" s="517"/>
      <c r="F124" s="519"/>
      <c r="G124" s="519"/>
      <c r="H124" s="523"/>
      <c r="I124" s="523"/>
      <c r="J124" s="523"/>
      <c r="K124" s="523"/>
      <c r="L124" s="523"/>
      <c r="M124" s="523"/>
      <c r="N124" s="523"/>
      <c r="O124" s="523"/>
      <c r="P124" s="524"/>
      <c r="Q124" s="455">
        <f t="shared" si="19"/>
        <v>0</v>
      </c>
    </row>
    <row r="125" spans="2:17" s="215" customFormat="1" ht="14.1" customHeight="1" x14ac:dyDescent="0.2">
      <c r="B125" s="516"/>
      <c r="C125" s="510"/>
      <c r="D125" s="518"/>
      <c r="E125" s="517"/>
      <c r="F125" s="519"/>
      <c r="G125" s="519"/>
      <c r="H125" s="523"/>
      <c r="I125" s="523"/>
      <c r="J125" s="523"/>
      <c r="K125" s="523"/>
      <c r="L125" s="523"/>
      <c r="M125" s="523"/>
      <c r="N125" s="523"/>
      <c r="O125" s="523"/>
      <c r="P125" s="524"/>
      <c r="Q125" s="455">
        <f t="shared" si="19"/>
        <v>0</v>
      </c>
    </row>
    <row r="126" spans="2:17" s="215" customFormat="1" ht="14.1" customHeight="1" x14ac:dyDescent="0.2">
      <c r="B126" s="516"/>
      <c r="C126" s="510"/>
      <c r="D126" s="518"/>
      <c r="E126" s="517"/>
      <c r="F126" s="519"/>
      <c r="G126" s="519"/>
      <c r="H126" s="523"/>
      <c r="I126" s="523"/>
      <c r="J126" s="523"/>
      <c r="K126" s="523"/>
      <c r="L126" s="523"/>
      <c r="M126" s="523"/>
      <c r="N126" s="523"/>
      <c r="O126" s="523"/>
      <c r="P126" s="524"/>
      <c r="Q126" s="455">
        <f t="shared" si="19"/>
        <v>0</v>
      </c>
    </row>
    <row r="127" spans="2:17" s="215" customFormat="1" ht="14.1" customHeight="1" x14ac:dyDescent="0.2">
      <c r="B127" s="516"/>
      <c r="C127" s="510"/>
      <c r="D127" s="518"/>
      <c r="E127" s="517"/>
      <c r="F127" s="519"/>
      <c r="G127" s="519"/>
      <c r="H127" s="523"/>
      <c r="I127" s="523"/>
      <c r="J127" s="523"/>
      <c r="K127" s="523"/>
      <c r="L127" s="523"/>
      <c r="M127" s="523"/>
      <c r="N127" s="523"/>
      <c r="O127" s="523"/>
      <c r="P127" s="524"/>
      <c r="Q127" s="455">
        <f t="shared" si="19"/>
        <v>0</v>
      </c>
    </row>
    <row r="128" spans="2:17" s="215" customFormat="1" ht="14.1" customHeight="1" x14ac:dyDescent="0.2">
      <c r="B128" s="516"/>
      <c r="C128" s="510"/>
      <c r="D128" s="518"/>
      <c r="E128" s="517"/>
      <c r="F128" s="519"/>
      <c r="G128" s="519"/>
      <c r="H128" s="523"/>
      <c r="I128" s="523"/>
      <c r="J128" s="523"/>
      <c r="K128" s="523"/>
      <c r="L128" s="523"/>
      <c r="M128" s="523"/>
      <c r="N128" s="523"/>
      <c r="O128" s="523"/>
      <c r="P128" s="524"/>
      <c r="Q128" s="455">
        <f t="shared" si="19"/>
        <v>0</v>
      </c>
    </row>
    <row r="129" spans="1:18" s="215" customFormat="1" ht="14.1" customHeight="1" thickBot="1" x14ac:dyDescent="0.25">
      <c r="B129" s="509"/>
      <c r="C129" s="510"/>
      <c r="D129" s="521"/>
      <c r="E129" s="517"/>
      <c r="F129" s="522"/>
      <c r="G129" s="519"/>
      <c r="H129" s="523"/>
      <c r="I129" s="523"/>
      <c r="J129" s="523"/>
      <c r="K129" s="523"/>
      <c r="L129" s="523"/>
      <c r="M129" s="523"/>
      <c r="N129" s="523"/>
      <c r="O129" s="523"/>
      <c r="P129" s="524"/>
      <c r="Q129" s="455">
        <f t="shared" si="19"/>
        <v>0</v>
      </c>
    </row>
    <row r="130" spans="1:18" s="264" customFormat="1" ht="14.1" customHeight="1" thickBot="1" x14ac:dyDescent="0.25">
      <c r="B130" s="251" t="s">
        <v>5</v>
      </c>
      <c r="C130" s="251"/>
      <c r="D130" s="387">
        <f>SUM(D113:D129)</f>
        <v>0</v>
      </c>
      <c r="E130" s="322" t="s">
        <v>400</v>
      </c>
      <c r="F130" s="404">
        <f t="array" ref="F130">IFERROR(SUMPRODUCT(--(E113:E129="grondgebonden woningen")*D113:D129*F113:F129)/SUMIF(E113:E129,"grondgebonden woningen",D113:D129),0)</f>
        <v>0</v>
      </c>
      <c r="G130" s="385" t="str">
        <f>IF(F130&gt;0,IF(F130&gt;Df_Gra,"Let op. Aansluitkosten komen boven de defaultwaarde van € "&amp;TEXT(Df_Gra,"0.00")&amp;" uit. Dit is alleen toegestaan met een degelijke onderbouwing in het projectplan en middels offertes en/of kostenramingen.",""),"")</f>
        <v/>
      </c>
      <c r="H130" s="81"/>
      <c r="I130" s="270"/>
      <c r="J130" s="81"/>
      <c r="K130" s="81"/>
      <c r="L130" s="81"/>
      <c r="M130" s="81"/>
      <c r="N130" s="81"/>
      <c r="O130" s="81"/>
      <c r="R130" s="269"/>
    </row>
    <row r="131" spans="1:18" s="264" customFormat="1" ht="14.1" customHeight="1" thickBot="1" x14ac:dyDescent="0.25">
      <c r="B131" s="251"/>
      <c r="C131" s="251"/>
      <c r="D131" s="269"/>
      <c r="E131" s="322" t="s">
        <v>401</v>
      </c>
      <c r="F131" s="405">
        <f t="array" ref="F131">IFERROR(SUMPRODUCT(--(E113:E129="gestapelde woningen")*D113:D129*F113:F129)/SUMIF(E113:E129,"gestapelde woningen",D113:D129),0)</f>
        <v>0</v>
      </c>
      <c r="G131" s="385" t="str">
        <f>IF(F131&gt;0,IF(F131&gt;Df_Gea,"Let op. Aansluitkosten komen boven de defaultwaarde van € "&amp;TEXT(Df_Gea,"0.00")&amp;" uit. Dit is alleen toegestaan met een degelijke onderbouwing in het projectplan en middels offertes en/of kostenramingen.",""),"")</f>
        <v/>
      </c>
      <c r="H131" s="81"/>
      <c r="I131" s="270"/>
      <c r="J131" s="81"/>
      <c r="K131" s="81"/>
      <c r="L131" s="81"/>
      <c r="M131" s="81"/>
      <c r="N131" s="81"/>
      <c r="O131" s="81"/>
      <c r="P131" s="81"/>
      <c r="Q131" s="383"/>
      <c r="R131" s="269"/>
    </row>
    <row r="132" spans="1:18" s="264" customFormat="1" ht="14.1" customHeight="1" thickBot="1" x14ac:dyDescent="0.25">
      <c r="B132" s="251"/>
      <c r="C132" s="251"/>
      <c r="D132" s="269"/>
      <c r="E132" s="322"/>
      <c r="F132" s="322" t="s">
        <v>606</v>
      </c>
      <c r="G132" s="423">
        <f t="array" ref="G132">IFERROR(SUMPRODUCT(D113:D129*G113:G129)/D130,0)</f>
        <v>0</v>
      </c>
      <c r="H132" s="385" t="str">
        <f>IF(G132&gt;0,IF(G132&gt;Df_As,"Let op. Afgiftesets komen boven de defaultwaarde van € "&amp;TEXT(Df_As,"0.00")&amp;" uit. Dit is alleen toegestaan met een degelijke onderbouwing in het projectplan en middels offertes en/of kostenramingenn.",""),"")</f>
        <v/>
      </c>
      <c r="I132" s="270"/>
      <c r="J132" s="81"/>
      <c r="K132" s="81"/>
      <c r="L132" s="81"/>
      <c r="M132" s="81"/>
      <c r="N132" s="81"/>
      <c r="O132" s="81"/>
      <c r="P132" s="81"/>
      <c r="Q132" s="383"/>
      <c r="R132" s="269"/>
    </row>
    <row r="133" spans="1:18" s="20" customFormat="1" ht="14.1" customHeight="1" thickBot="1" x14ac:dyDescent="0.2">
      <c r="B133" s="398" t="s">
        <v>168</v>
      </c>
      <c r="C133" s="399"/>
      <c r="D133" s="399"/>
      <c r="E133" s="399"/>
      <c r="F133" s="399"/>
      <c r="G133" s="399"/>
      <c r="H133" s="399"/>
      <c r="I133" s="399"/>
      <c r="J133" s="399"/>
      <c r="K133" s="400"/>
      <c r="L133" s="399"/>
      <c r="M133" s="399"/>
      <c r="N133" s="399"/>
      <c r="O133" s="399"/>
      <c r="P133" s="401"/>
      <c r="Q133" s="458">
        <f>SUM(Q113:Q129)</f>
        <v>0</v>
      </c>
    </row>
    <row r="134" spans="1:18" s="20" customFormat="1" ht="14.1" customHeight="1" x14ac:dyDescent="0.15">
      <c r="K134" s="78"/>
    </row>
    <row r="135" spans="1:18" s="205" customFormat="1" ht="14.25" x14ac:dyDescent="0.2">
      <c r="A135" s="199"/>
      <c r="B135" s="200" t="s">
        <v>93</v>
      </c>
      <c r="C135" s="200"/>
      <c r="D135" s="206"/>
      <c r="E135" s="207"/>
      <c r="F135" s="208"/>
      <c r="G135" s="208"/>
      <c r="H135" s="208"/>
      <c r="I135" s="209"/>
      <c r="J135" s="207"/>
      <c r="K135" s="208"/>
      <c r="L135" s="208"/>
      <c r="M135" s="207"/>
      <c r="N135" s="207"/>
      <c r="O135" s="209"/>
      <c r="P135" s="209"/>
      <c r="Q135" s="209"/>
    </row>
    <row r="136" spans="1:18" s="81" customFormat="1" ht="22.5" x14ac:dyDescent="0.15">
      <c r="A136" s="262"/>
      <c r="B136" s="306" t="s">
        <v>138</v>
      </c>
      <c r="C136" s="941" t="s">
        <v>50</v>
      </c>
      <c r="D136" s="943"/>
      <c r="E136" s="941" t="s">
        <v>16</v>
      </c>
      <c r="F136" s="942"/>
      <c r="G136" s="942"/>
      <c r="H136" s="942"/>
      <c r="I136" s="943"/>
      <c r="J136" s="941"/>
      <c r="K136" s="942"/>
      <c r="L136" s="942"/>
      <c r="M136" s="942"/>
      <c r="N136" s="942"/>
      <c r="O136" s="942"/>
      <c r="P136" s="943"/>
      <c r="Q136" s="263" t="s">
        <v>89</v>
      </c>
    </row>
    <row r="137" spans="1:18" ht="14.1" customHeight="1" x14ac:dyDescent="0.15">
      <c r="B137" s="509"/>
      <c r="C137" s="947"/>
      <c r="D137" s="949"/>
      <c r="E137" s="510"/>
      <c r="F137" s="512"/>
      <c r="G137" s="512"/>
      <c r="H137" s="512"/>
      <c r="I137" s="511"/>
      <c r="J137" s="525"/>
      <c r="K137" s="526"/>
      <c r="L137" s="526"/>
      <c r="M137" s="526"/>
      <c r="N137" s="526"/>
      <c r="O137" s="526"/>
      <c r="P137" s="527"/>
      <c r="Q137" s="917">
        <v>0</v>
      </c>
    </row>
    <row r="138" spans="1:18" ht="14.1" customHeight="1" x14ac:dyDescent="0.2">
      <c r="B138" s="509"/>
      <c r="C138" s="947"/>
      <c r="D138" s="948"/>
      <c r="E138" s="510"/>
      <c r="F138" s="512"/>
      <c r="G138" s="512"/>
      <c r="H138" s="512"/>
      <c r="I138" s="511"/>
      <c r="J138" s="525"/>
      <c r="K138" s="526"/>
      <c r="L138" s="526"/>
      <c r="M138" s="526"/>
      <c r="N138" s="526"/>
      <c r="O138" s="526"/>
      <c r="P138" s="527"/>
      <c r="Q138" s="917">
        <v>0</v>
      </c>
    </row>
    <row r="139" spans="1:18" ht="14.1" customHeight="1" x14ac:dyDescent="0.2">
      <c r="B139" s="509"/>
      <c r="C139" s="947"/>
      <c r="D139" s="948"/>
      <c r="E139" s="510"/>
      <c r="F139" s="512"/>
      <c r="G139" s="512"/>
      <c r="H139" s="512"/>
      <c r="I139" s="511"/>
      <c r="J139" s="525"/>
      <c r="K139" s="526"/>
      <c r="L139" s="526"/>
      <c r="M139" s="526"/>
      <c r="N139" s="526"/>
      <c r="O139" s="526"/>
      <c r="P139" s="527"/>
      <c r="Q139" s="917">
        <v>0</v>
      </c>
    </row>
    <row r="140" spans="1:18" ht="14.1" customHeight="1" x14ac:dyDescent="0.2">
      <c r="B140" s="509"/>
      <c r="C140" s="947"/>
      <c r="D140" s="948"/>
      <c r="E140" s="510"/>
      <c r="F140" s="512"/>
      <c r="G140" s="512"/>
      <c r="H140" s="512"/>
      <c r="I140" s="511"/>
      <c r="J140" s="525"/>
      <c r="K140" s="526"/>
      <c r="L140" s="526"/>
      <c r="M140" s="526"/>
      <c r="N140" s="526"/>
      <c r="O140" s="526"/>
      <c r="P140" s="527"/>
      <c r="Q140" s="917">
        <v>0</v>
      </c>
    </row>
    <row r="141" spans="1:18" ht="14.1" customHeight="1" x14ac:dyDescent="0.2">
      <c r="B141" s="509"/>
      <c r="C141" s="947"/>
      <c r="D141" s="948"/>
      <c r="E141" s="510"/>
      <c r="F141" s="512"/>
      <c r="G141" s="512"/>
      <c r="H141" s="512"/>
      <c r="I141" s="511"/>
      <c r="J141" s="525"/>
      <c r="K141" s="526"/>
      <c r="L141" s="526"/>
      <c r="M141" s="526"/>
      <c r="N141" s="526"/>
      <c r="O141" s="526"/>
      <c r="P141" s="527"/>
      <c r="Q141" s="917">
        <v>0</v>
      </c>
    </row>
    <row r="142" spans="1:18" ht="14.1" customHeight="1" x14ac:dyDescent="0.2">
      <c r="B142" s="509"/>
      <c r="C142" s="947"/>
      <c r="D142" s="948"/>
      <c r="E142" s="510"/>
      <c r="F142" s="512"/>
      <c r="G142" s="512"/>
      <c r="H142" s="512"/>
      <c r="I142" s="511"/>
      <c r="J142" s="525"/>
      <c r="K142" s="526"/>
      <c r="L142" s="526"/>
      <c r="M142" s="526"/>
      <c r="N142" s="526"/>
      <c r="O142" s="526"/>
      <c r="P142" s="527"/>
      <c r="Q142" s="917">
        <v>0</v>
      </c>
    </row>
    <row r="143" spans="1:18" ht="14.1" customHeight="1" x14ac:dyDescent="0.2">
      <c r="B143" s="509"/>
      <c r="C143" s="947"/>
      <c r="D143" s="948"/>
      <c r="E143" s="510"/>
      <c r="F143" s="512"/>
      <c r="G143" s="512"/>
      <c r="H143" s="512"/>
      <c r="I143" s="511"/>
      <c r="J143" s="525"/>
      <c r="K143" s="526"/>
      <c r="L143" s="526"/>
      <c r="M143" s="526"/>
      <c r="N143" s="526"/>
      <c r="O143" s="526"/>
      <c r="P143" s="527"/>
      <c r="Q143" s="917">
        <v>0</v>
      </c>
    </row>
    <row r="144" spans="1:18" ht="14.1" customHeight="1" x14ac:dyDescent="0.2">
      <c r="B144" s="509"/>
      <c r="C144" s="947"/>
      <c r="D144" s="948"/>
      <c r="E144" s="510"/>
      <c r="F144" s="512"/>
      <c r="G144" s="512"/>
      <c r="H144" s="512"/>
      <c r="I144" s="511"/>
      <c r="J144" s="525"/>
      <c r="K144" s="526"/>
      <c r="L144" s="526"/>
      <c r="M144" s="526"/>
      <c r="N144" s="526"/>
      <c r="O144" s="526"/>
      <c r="P144" s="527"/>
      <c r="Q144" s="917">
        <v>0</v>
      </c>
    </row>
    <row r="145" spans="1:21" ht="14.1" customHeight="1" x14ac:dyDescent="0.2">
      <c r="B145" s="509"/>
      <c r="C145" s="947"/>
      <c r="D145" s="948"/>
      <c r="E145" s="510"/>
      <c r="F145" s="512"/>
      <c r="G145" s="512"/>
      <c r="H145" s="512"/>
      <c r="I145" s="511"/>
      <c r="J145" s="525"/>
      <c r="K145" s="526"/>
      <c r="L145" s="526"/>
      <c r="M145" s="526"/>
      <c r="N145" s="526"/>
      <c r="O145" s="526"/>
      <c r="P145" s="527"/>
      <c r="Q145" s="917">
        <v>0</v>
      </c>
    </row>
    <row r="146" spans="1:21" ht="14.1" customHeight="1" thickBot="1" x14ac:dyDescent="0.25">
      <c r="B146" s="509"/>
      <c r="C146" s="947"/>
      <c r="D146" s="948"/>
      <c r="E146" s="510"/>
      <c r="F146" s="512"/>
      <c r="G146" s="512"/>
      <c r="H146" s="512"/>
      <c r="I146" s="511"/>
      <c r="J146" s="510"/>
      <c r="K146" s="512"/>
      <c r="L146" s="512"/>
      <c r="M146" s="512"/>
      <c r="N146" s="512"/>
      <c r="O146" s="512"/>
      <c r="P146" s="511"/>
      <c r="Q146" s="918">
        <v>0</v>
      </c>
    </row>
    <row r="147" spans="1:21" ht="14.1" customHeight="1" thickBot="1" x14ac:dyDescent="0.2">
      <c r="B147" s="81" t="s">
        <v>156</v>
      </c>
      <c r="D147" s="77"/>
      <c r="E147" s="77"/>
      <c r="F147" s="77"/>
      <c r="G147" s="77"/>
      <c r="H147" s="77"/>
      <c r="I147" s="73"/>
      <c r="K147" s="79"/>
      <c r="L147" s="80"/>
      <c r="Q147" s="459">
        <f>SUM(Q137:Q146)</f>
        <v>0</v>
      </c>
    </row>
    <row r="148" spans="1:21" ht="14.1" customHeight="1" thickBot="1" x14ac:dyDescent="0.2">
      <c r="I148" s="60"/>
      <c r="J148" s="74"/>
    </row>
    <row r="149" spans="1:21" ht="14.1" customHeight="1" thickBot="1" x14ac:dyDescent="0.2">
      <c r="B149" s="402" t="s">
        <v>157</v>
      </c>
      <c r="C149" s="389"/>
      <c r="D149" s="389"/>
      <c r="E149" s="402"/>
      <c r="F149" s="389"/>
      <c r="G149" s="389"/>
      <c r="H149" s="389"/>
      <c r="I149" s="389"/>
      <c r="J149" s="389"/>
      <c r="K149" s="389"/>
      <c r="L149" s="389"/>
      <c r="M149" s="389"/>
      <c r="N149" s="389"/>
      <c r="O149" s="389"/>
      <c r="P149" s="392"/>
      <c r="Q149" s="282">
        <f>+Q41+Q65+Q86+Q109+Q133+Q147</f>
        <v>0</v>
      </c>
      <c r="R149" s="62"/>
    </row>
    <row r="150" spans="1:21" ht="14.1" customHeight="1" x14ac:dyDescent="0.15">
      <c r="B150" s="245"/>
      <c r="C150" s="77"/>
      <c r="D150" s="77"/>
      <c r="E150" s="245"/>
      <c r="F150" s="77"/>
      <c r="G150" s="77"/>
      <c r="H150" s="77"/>
      <c r="I150" s="77"/>
      <c r="Q150" s="62"/>
      <c r="R150" s="62"/>
    </row>
    <row r="151" spans="1:21" ht="14.1" customHeight="1" x14ac:dyDescent="0.15">
      <c r="B151" s="81"/>
      <c r="C151" s="81"/>
      <c r="D151" s="81"/>
      <c r="I151" s="82"/>
      <c r="R151" s="62"/>
    </row>
    <row r="152" spans="1:21" s="205" customFormat="1" ht="14.25" x14ac:dyDescent="0.2">
      <c r="A152" s="199"/>
      <c r="B152" s="200" t="s">
        <v>165</v>
      </c>
      <c r="C152" s="200"/>
      <c r="D152" s="206"/>
      <c r="E152" s="207"/>
      <c r="F152" s="213"/>
      <c r="G152" s="213"/>
      <c r="H152" s="213"/>
      <c r="I152" s="291"/>
      <c r="J152" s="291"/>
      <c r="K152" s="291"/>
      <c r="L152" s="291"/>
      <c r="M152" s="291"/>
      <c r="N152" s="291"/>
      <c r="O152" s="291"/>
      <c r="P152" s="291"/>
      <c r="Q152" s="214"/>
      <c r="R152" s="204"/>
    </row>
    <row r="153" spans="1:21" ht="12" thickBot="1" x14ac:dyDescent="0.2">
      <c r="B153" s="651"/>
      <c r="C153" s="652"/>
      <c r="D153" s="652"/>
      <c r="E153" s="652"/>
      <c r="F153" s="242"/>
      <c r="G153" s="242"/>
      <c r="H153" s="242"/>
      <c r="I153" s="653"/>
      <c r="J153" s="654"/>
      <c r="K153" s="655"/>
      <c r="L153" s="655"/>
      <c r="M153" s="655"/>
      <c r="N153" s="655"/>
      <c r="O153" s="655"/>
      <c r="P153" s="655"/>
      <c r="Q153" s="656" t="s">
        <v>141</v>
      </c>
      <c r="R153" s="62"/>
    </row>
    <row r="154" spans="1:21" ht="14.1" customHeight="1" thickBot="1" x14ac:dyDescent="0.25">
      <c r="B154" s="657" t="s">
        <v>141</v>
      </c>
      <c r="C154" s="658"/>
      <c r="D154" s="650" t="s">
        <v>515</v>
      </c>
      <c r="E154" s="650"/>
      <c r="F154" s="650"/>
      <c r="G154" s="650"/>
      <c r="H154" s="650"/>
      <c r="I154" s="650"/>
      <c r="J154" s="650"/>
      <c r="K154" s="650"/>
      <c r="L154" s="650"/>
      <c r="M154" s="650"/>
      <c r="N154" s="650"/>
      <c r="O154" s="650"/>
      <c r="P154" s="931" t="str">
        <f>IFERROR(IF(Q154&lt;0,"Let op: er is geen sprake van een onrendabele top",""),"")</f>
        <v/>
      </c>
      <c r="Q154" s="283" t="e">
        <f>-'ORT Berekening'!H148</f>
        <v>#N/A</v>
      </c>
      <c r="R154" s="2"/>
      <c r="S154" s="2"/>
      <c r="T154" s="2"/>
      <c r="U154" s="2"/>
    </row>
    <row r="155" spans="1:21" x14ac:dyDescent="0.15">
      <c r="B155" s="84"/>
      <c r="C155" s="14"/>
      <c r="D155" s="14"/>
      <c r="E155" s="14"/>
      <c r="F155" s="14"/>
      <c r="G155" s="14"/>
      <c r="H155" s="14"/>
      <c r="I155" s="60"/>
      <c r="J155" s="77"/>
      <c r="Q155" s="85"/>
      <c r="R155" s="62"/>
    </row>
    <row r="156" spans="1:21" x14ac:dyDescent="0.15">
      <c r="B156" s="14"/>
      <c r="C156" s="14"/>
      <c r="D156" s="14"/>
      <c r="E156" s="14"/>
      <c r="I156" s="34"/>
      <c r="J156" s="77"/>
      <c r="R156" s="62"/>
    </row>
    <row r="157" spans="1:21" ht="14.25" x14ac:dyDescent="0.2">
      <c r="B157" s="200" t="s">
        <v>181</v>
      </c>
      <c r="C157" s="200"/>
      <c r="D157" s="206"/>
      <c r="E157" s="207"/>
      <c r="F157" s="213"/>
      <c r="G157" s="213"/>
      <c r="H157" s="213"/>
      <c r="I157" s="291"/>
      <c r="J157" s="291"/>
      <c r="K157" s="291"/>
      <c r="L157" s="291"/>
      <c r="M157" s="291"/>
      <c r="N157" s="291"/>
      <c r="O157" s="291"/>
      <c r="P157" s="291"/>
      <c r="Q157" s="214"/>
      <c r="R157" s="62"/>
    </row>
    <row r="158" spans="1:21" s="198" customFormat="1" ht="22.5" x14ac:dyDescent="0.15">
      <c r="A158" s="238"/>
      <c r="B158" s="659" t="s">
        <v>482</v>
      </c>
      <c r="C158" s="659"/>
      <c r="D158" s="660"/>
      <c r="E158" s="660"/>
      <c r="F158" s="660"/>
      <c r="G158" s="660"/>
      <c r="H158" s="660"/>
      <c r="I158" s="660"/>
      <c r="J158" s="661"/>
      <c r="K158" s="662"/>
      <c r="L158" s="56"/>
      <c r="M158" s="56"/>
      <c r="N158" s="56"/>
      <c r="O158" s="56"/>
      <c r="P158" s="56"/>
      <c r="Q158" s="663" t="s">
        <v>199</v>
      </c>
      <c r="R158" s="239"/>
      <c r="S158" s="240"/>
      <c r="T158" s="240"/>
    </row>
    <row r="159" spans="1:21" ht="14.1" customHeight="1" x14ac:dyDescent="0.15">
      <c r="B159" s="510"/>
      <c r="C159" s="512"/>
      <c r="D159" s="512"/>
      <c r="E159" s="512"/>
      <c r="F159" s="512"/>
      <c r="G159" s="512"/>
      <c r="H159" s="512"/>
      <c r="I159" s="512"/>
      <c r="J159" s="512"/>
      <c r="K159" s="512"/>
      <c r="L159" s="512"/>
      <c r="M159" s="512"/>
      <c r="N159" s="512"/>
      <c r="O159" s="512"/>
      <c r="P159" s="511"/>
      <c r="Q159" s="917">
        <v>0</v>
      </c>
      <c r="R159" s="78"/>
      <c r="S159" s="20"/>
      <c r="T159" s="20"/>
    </row>
    <row r="160" spans="1:21" ht="14.1" customHeight="1" x14ac:dyDescent="0.15">
      <c r="B160" s="510"/>
      <c r="C160" s="512"/>
      <c r="D160" s="512"/>
      <c r="E160" s="512"/>
      <c r="F160" s="512"/>
      <c r="G160" s="512"/>
      <c r="H160" s="512"/>
      <c r="I160" s="512"/>
      <c r="J160" s="512"/>
      <c r="K160" s="512"/>
      <c r="L160" s="512"/>
      <c r="M160" s="512"/>
      <c r="N160" s="512"/>
      <c r="O160" s="512"/>
      <c r="P160" s="511"/>
      <c r="Q160" s="917">
        <v>0</v>
      </c>
      <c r="R160" s="78"/>
      <c r="S160" s="20"/>
      <c r="T160" s="20"/>
    </row>
    <row r="161" spans="1:26" ht="14.1" customHeight="1" x14ac:dyDescent="0.15">
      <c r="B161" s="510"/>
      <c r="C161" s="512"/>
      <c r="D161" s="512"/>
      <c r="E161" s="512"/>
      <c r="F161" s="512"/>
      <c r="G161" s="512"/>
      <c r="H161" s="512"/>
      <c r="I161" s="512"/>
      <c r="J161" s="512"/>
      <c r="K161" s="512"/>
      <c r="L161" s="512"/>
      <c r="M161" s="512"/>
      <c r="N161" s="512"/>
      <c r="O161" s="512"/>
      <c r="P161" s="511"/>
      <c r="Q161" s="917">
        <v>0</v>
      </c>
      <c r="R161" s="78"/>
      <c r="S161" s="20"/>
      <c r="T161" s="20"/>
    </row>
    <row r="162" spans="1:26" ht="14.1" customHeight="1" x14ac:dyDescent="0.15">
      <c r="B162" s="510"/>
      <c r="C162" s="512"/>
      <c r="D162" s="512"/>
      <c r="E162" s="512"/>
      <c r="F162" s="512"/>
      <c r="G162" s="512"/>
      <c r="H162" s="512"/>
      <c r="I162" s="512"/>
      <c r="J162" s="512"/>
      <c r="K162" s="512"/>
      <c r="L162" s="512"/>
      <c r="M162" s="512"/>
      <c r="N162" s="512"/>
      <c r="O162" s="512"/>
      <c r="P162" s="511"/>
      <c r="Q162" s="917">
        <v>0</v>
      </c>
      <c r="R162" s="78"/>
      <c r="S162" s="20"/>
      <c r="T162" s="20"/>
    </row>
    <row r="163" spans="1:26" ht="14.1" customHeight="1" x14ac:dyDescent="0.15">
      <c r="B163" s="510"/>
      <c r="C163" s="512"/>
      <c r="D163" s="512"/>
      <c r="E163" s="512"/>
      <c r="F163" s="512"/>
      <c r="G163" s="512"/>
      <c r="H163" s="512"/>
      <c r="I163" s="512"/>
      <c r="J163" s="512"/>
      <c r="K163" s="512"/>
      <c r="L163" s="512"/>
      <c r="M163" s="512"/>
      <c r="N163" s="512"/>
      <c r="O163" s="512"/>
      <c r="P163" s="511"/>
      <c r="Q163" s="917">
        <v>0</v>
      </c>
      <c r="R163" s="78"/>
      <c r="S163" s="20"/>
      <c r="T163" s="20"/>
    </row>
    <row r="164" spans="1:26" ht="14.1" customHeight="1" x14ac:dyDescent="0.15">
      <c r="B164" s="510"/>
      <c r="C164" s="512"/>
      <c r="D164" s="512"/>
      <c r="E164" s="512"/>
      <c r="F164" s="512"/>
      <c r="G164" s="512"/>
      <c r="H164" s="512"/>
      <c r="I164" s="512"/>
      <c r="J164" s="512"/>
      <c r="K164" s="512"/>
      <c r="L164" s="512"/>
      <c r="M164" s="512"/>
      <c r="N164" s="512"/>
      <c r="O164" s="512"/>
      <c r="P164" s="511"/>
      <c r="Q164" s="917">
        <v>0</v>
      </c>
      <c r="R164" s="78"/>
      <c r="S164" s="637"/>
      <c r="T164" s="637"/>
      <c r="U164" s="77"/>
      <c r="V164" s="77"/>
      <c r="W164" s="77"/>
      <c r="X164" s="77"/>
      <c r="Y164" s="77"/>
      <c r="Z164" s="77"/>
    </row>
    <row r="165" spans="1:26" ht="14.1" customHeight="1" x14ac:dyDescent="0.15">
      <c r="B165" s="510"/>
      <c r="C165" s="512"/>
      <c r="D165" s="512"/>
      <c r="E165" s="512"/>
      <c r="F165" s="512"/>
      <c r="G165" s="512"/>
      <c r="H165" s="512"/>
      <c r="I165" s="512"/>
      <c r="J165" s="512"/>
      <c r="K165" s="512"/>
      <c r="L165" s="512"/>
      <c r="M165" s="512"/>
      <c r="N165" s="512"/>
      <c r="O165" s="512"/>
      <c r="P165" s="511"/>
      <c r="Q165" s="917">
        <v>0</v>
      </c>
      <c r="R165" s="78"/>
      <c r="S165" s="637"/>
      <c r="T165" s="637"/>
      <c r="U165" s="77"/>
      <c r="V165" s="77"/>
      <c r="W165" s="77"/>
      <c r="X165" s="77"/>
      <c r="Y165" s="77"/>
      <c r="Z165" s="77"/>
    </row>
    <row r="166" spans="1:26" ht="14.1" customHeight="1" x14ac:dyDescent="0.15">
      <c r="B166" s="510"/>
      <c r="C166" s="512"/>
      <c r="D166" s="512"/>
      <c r="E166" s="512"/>
      <c r="F166" s="512"/>
      <c r="G166" s="512"/>
      <c r="H166" s="512"/>
      <c r="I166" s="512"/>
      <c r="J166" s="512"/>
      <c r="K166" s="512"/>
      <c r="L166" s="512"/>
      <c r="M166" s="512"/>
      <c r="N166" s="512"/>
      <c r="O166" s="512"/>
      <c r="P166" s="511"/>
      <c r="Q166" s="917">
        <v>0</v>
      </c>
      <c r="R166" s="78"/>
      <c r="S166" s="637"/>
      <c r="T166" s="637"/>
      <c r="U166" s="637"/>
      <c r="V166" s="637"/>
      <c r="W166" s="637"/>
      <c r="X166" s="637"/>
      <c r="Y166" s="637"/>
      <c r="Z166" s="77"/>
    </row>
    <row r="167" spans="1:26" ht="11.25" customHeight="1" thickBot="1" x14ac:dyDescent="0.2">
      <c r="A167" s="60"/>
      <c r="B167" s="664"/>
      <c r="C167" s="664"/>
      <c r="D167" s="664"/>
      <c r="E167" s="664"/>
      <c r="F167" s="664"/>
      <c r="G167" s="664"/>
      <c r="H167" s="664"/>
      <c r="I167" s="664"/>
      <c r="J167" s="84"/>
      <c r="K167" s="665"/>
      <c r="L167" s="237"/>
      <c r="M167" s="237"/>
      <c r="N167" s="237"/>
      <c r="O167" s="237"/>
      <c r="P167" s="237"/>
      <c r="Q167" s="666"/>
      <c r="R167" s="244"/>
      <c r="S167" s="637"/>
      <c r="T167" s="637"/>
      <c r="U167" s="77"/>
      <c r="V167" s="77"/>
      <c r="W167" s="77"/>
      <c r="X167" s="77"/>
      <c r="Y167" s="77"/>
      <c r="Z167" s="77"/>
    </row>
    <row r="168" spans="1:26" ht="12" thickBot="1" x14ac:dyDescent="0.2">
      <c r="B168" s="667" t="s">
        <v>143</v>
      </c>
      <c r="C168" s="668"/>
      <c r="D168" s="668"/>
      <c r="E168" s="667"/>
      <c r="F168" s="668"/>
      <c r="G168" s="668"/>
      <c r="H168" s="668"/>
      <c r="I168" s="668"/>
      <c r="J168" s="84"/>
      <c r="K168" s="665"/>
      <c r="L168" s="84"/>
      <c r="M168" s="84"/>
      <c r="N168" s="84"/>
      <c r="O168" s="84"/>
      <c r="P168" s="84"/>
      <c r="Q168" s="669">
        <f>SUM(Q159:Q167)</f>
        <v>0</v>
      </c>
      <c r="R168" s="62"/>
      <c r="S168" s="77"/>
      <c r="T168" s="77"/>
      <c r="U168" s="77"/>
      <c r="V168" s="77"/>
      <c r="W168" s="77"/>
      <c r="X168" s="77"/>
      <c r="Y168" s="77"/>
      <c r="Z168" s="77"/>
    </row>
    <row r="169" spans="1:26" ht="11.25" customHeight="1" x14ac:dyDescent="0.2">
      <c r="B169" s="312"/>
      <c r="C169" s="312"/>
      <c r="D169" s="312"/>
      <c r="E169" s="312"/>
      <c r="F169" s="312"/>
      <c r="G169" s="312"/>
      <c r="H169" s="312"/>
      <c r="I169" s="34"/>
      <c r="L169" s="20"/>
      <c r="M169" s="20"/>
      <c r="N169" s="20"/>
      <c r="O169" s="20"/>
      <c r="P169" s="20"/>
      <c r="Q169" s="78"/>
      <c r="R169" s="78"/>
      <c r="S169" s="20"/>
      <c r="T169" s="20"/>
    </row>
    <row r="170" spans="1:26" s="205" customFormat="1" ht="14.25" x14ac:dyDescent="0.2">
      <c r="A170" s="199"/>
      <c r="B170" s="200" t="s">
        <v>158</v>
      </c>
      <c r="C170" s="216"/>
      <c r="D170" s="202"/>
      <c r="E170" s="202"/>
      <c r="F170" s="202"/>
      <c r="G170" s="202"/>
      <c r="H170" s="202"/>
      <c r="I170" s="202"/>
      <c r="J170" s="202"/>
      <c r="K170" s="202"/>
      <c r="L170" s="202"/>
      <c r="M170" s="202"/>
      <c r="N170" s="202"/>
      <c r="O170" s="202"/>
      <c r="P170" s="202"/>
      <c r="Q170" s="217"/>
      <c r="R170" s="204"/>
    </row>
    <row r="171" spans="1:26" ht="14.1" customHeight="1" x14ac:dyDescent="0.15">
      <c r="B171" s="20"/>
      <c r="C171" s="20"/>
      <c r="D171" s="20"/>
      <c r="E171" s="20"/>
      <c r="F171" s="20"/>
      <c r="G171" s="20"/>
      <c r="H171" s="20"/>
      <c r="I171" s="20"/>
      <c r="J171" s="20"/>
      <c r="K171" s="20"/>
      <c r="L171" s="20"/>
      <c r="M171" s="20"/>
      <c r="N171" s="20"/>
      <c r="O171" s="20"/>
      <c r="P171" s="20"/>
      <c r="Q171" s="20"/>
      <c r="R171" s="86"/>
    </row>
    <row r="172" spans="1:26" ht="14.1" customHeight="1" x14ac:dyDescent="0.2">
      <c r="B172" s="87" t="s">
        <v>140</v>
      </c>
      <c r="C172" s="88"/>
      <c r="D172" s="89"/>
      <c r="E172" s="89"/>
      <c r="F172" s="89"/>
      <c r="G172" s="89"/>
      <c r="H172" s="89"/>
      <c r="I172" s="89"/>
      <c r="J172" s="89"/>
      <c r="K172" s="89"/>
      <c r="L172" s="89"/>
      <c r="M172" s="89"/>
      <c r="N172" s="89"/>
      <c r="O172" s="89"/>
      <c r="P172" s="90"/>
      <c r="Q172" s="460">
        <f>Q149</f>
        <v>0</v>
      </c>
      <c r="R172" s="2"/>
    </row>
    <row r="173" spans="1:26" ht="14.1" customHeight="1" x14ac:dyDescent="0.2">
      <c r="B173" s="87"/>
      <c r="C173" s="88"/>
      <c r="D173" s="89"/>
      <c r="E173" s="89"/>
      <c r="F173" s="89"/>
      <c r="G173" s="89"/>
      <c r="H173" s="89"/>
      <c r="I173" s="89"/>
      <c r="J173" s="89"/>
      <c r="K173" s="89"/>
      <c r="L173" s="89"/>
      <c r="M173" s="89"/>
      <c r="N173" s="89"/>
      <c r="O173" s="89"/>
      <c r="P173" s="90"/>
      <c r="Q173" s="255"/>
      <c r="R173" s="2"/>
    </row>
    <row r="174" spans="1:26" ht="14.1" customHeight="1" x14ac:dyDescent="0.2">
      <c r="B174" s="87" t="s">
        <v>142</v>
      </c>
      <c r="C174" s="88"/>
      <c r="D174" s="89"/>
      <c r="E174" s="89"/>
      <c r="F174" s="89"/>
      <c r="G174" s="89"/>
      <c r="H174" s="89"/>
      <c r="I174" s="89"/>
      <c r="J174" s="89"/>
      <c r="K174" s="89"/>
      <c r="L174" s="89"/>
      <c r="M174" s="89"/>
      <c r="N174" s="89"/>
      <c r="O174" s="89"/>
      <c r="P174" s="90"/>
      <c r="Q174" s="460" t="e">
        <f>+Q154</f>
        <v>#N/A</v>
      </c>
      <c r="R174" s="2"/>
    </row>
    <row r="175" spans="1:26" ht="14.1" customHeight="1" x14ac:dyDescent="0.2">
      <c r="B175" s="625" t="s">
        <v>495</v>
      </c>
      <c r="C175" s="88"/>
      <c r="D175" s="89"/>
      <c r="E175" s="89"/>
      <c r="G175" s="460">
        <f>'ORT uitgangspunten'!G38</f>
        <v>0</v>
      </c>
      <c r="H175" s="626" t="s">
        <v>496</v>
      </c>
      <c r="I175" s="89"/>
      <c r="J175" s="89"/>
      <c r="K175" s="89"/>
      <c r="L175" s="89"/>
      <c r="M175" s="89"/>
      <c r="N175" s="89"/>
      <c r="O175" s="89"/>
      <c r="P175" s="90"/>
      <c r="Q175" s="84"/>
      <c r="R175" s="2"/>
    </row>
    <row r="176" spans="1:26" ht="14.1" customHeight="1" x14ac:dyDescent="0.15">
      <c r="B176" s="241" t="s">
        <v>183</v>
      </c>
      <c r="C176" s="89"/>
      <c r="D176" s="89"/>
      <c r="E176" s="89"/>
      <c r="F176" s="89"/>
      <c r="G176" s="89"/>
      <c r="H176" s="89"/>
      <c r="I176" s="89"/>
      <c r="J176" s="89"/>
      <c r="K176" s="89"/>
      <c r="L176" s="89"/>
      <c r="M176" s="89"/>
      <c r="N176" s="89"/>
      <c r="O176" s="89"/>
      <c r="P176" s="90"/>
      <c r="Q176" s="460">
        <f>+Q168</f>
        <v>0</v>
      </c>
      <c r="R176" s="91"/>
    </row>
    <row r="177" spans="1:22" ht="14.1" customHeight="1" x14ac:dyDescent="0.15">
      <c r="B177" s="87"/>
      <c r="D177" s="89"/>
      <c r="E177" s="89"/>
      <c r="F177" s="89"/>
      <c r="G177" s="89"/>
      <c r="H177" s="89"/>
      <c r="I177" s="89"/>
      <c r="J177" s="89"/>
      <c r="K177" s="89"/>
      <c r="L177" s="89"/>
      <c r="M177" s="89"/>
      <c r="N177" s="89"/>
      <c r="O177" s="89"/>
      <c r="P177" s="90"/>
      <c r="Q177" s="255"/>
      <c r="R177" s="92"/>
    </row>
    <row r="178" spans="1:22" ht="14.1" customHeight="1" x14ac:dyDescent="0.2">
      <c r="B178" s="87" t="s">
        <v>528</v>
      </c>
      <c r="C178" s="87"/>
      <c r="D178" s="93"/>
      <c r="E178" s="93"/>
      <c r="F178" s="93"/>
      <c r="G178" s="93"/>
      <c r="H178" s="93"/>
      <c r="I178" s="93"/>
      <c r="J178" s="93"/>
      <c r="K178" s="93"/>
      <c r="L178" s="93"/>
      <c r="M178" s="93"/>
      <c r="N178" s="93"/>
      <c r="O178" s="93"/>
      <c r="P178" s="94"/>
      <c r="Q178" s="460" t="e">
        <f>+Q174-Q176</f>
        <v>#N/A</v>
      </c>
      <c r="R178" s="2"/>
      <c r="S178" s="723"/>
    </row>
    <row r="179" spans="1:22" ht="14.1" customHeight="1" x14ac:dyDescent="0.15">
      <c r="B179" s="95"/>
      <c r="C179" s="95"/>
      <c r="D179" s="96"/>
      <c r="E179" s="96"/>
      <c r="F179" s="96"/>
      <c r="G179" s="96"/>
      <c r="H179" s="96"/>
      <c r="I179" s="96"/>
      <c r="J179" s="96"/>
      <c r="K179" s="96"/>
      <c r="L179" s="96"/>
      <c r="M179" s="96"/>
      <c r="N179" s="96"/>
      <c r="O179" s="96"/>
      <c r="P179" s="96"/>
      <c r="Q179" s="670"/>
      <c r="R179" s="62"/>
      <c r="S179" s="723"/>
    </row>
    <row r="180" spans="1:22" ht="14.1" customHeight="1" x14ac:dyDescent="0.15">
      <c r="B180" s="87" t="s">
        <v>529</v>
      </c>
      <c r="C180" s="89"/>
      <c r="D180" s="89"/>
      <c r="E180" s="89"/>
      <c r="F180" s="89"/>
      <c r="G180" s="89"/>
      <c r="H180" s="89"/>
      <c r="I180" s="89"/>
      <c r="J180" s="89"/>
      <c r="K180" s="89"/>
      <c r="L180" s="89"/>
      <c r="M180" s="89"/>
      <c r="N180" s="89"/>
      <c r="O180" s="461">
        <v>0.45</v>
      </c>
      <c r="P180" s="89"/>
      <c r="Q180" s="671">
        <f>+O180*Q172</f>
        <v>0</v>
      </c>
      <c r="R180" s="97"/>
      <c r="S180" s="724"/>
      <c r="T180" s="98"/>
      <c r="U180" s="98"/>
      <c r="V180" s="98"/>
    </row>
    <row r="181" spans="1:22" ht="14.1" customHeight="1" x14ac:dyDescent="0.15">
      <c r="B181" s="87" t="s">
        <v>97</v>
      </c>
      <c r="C181" s="89"/>
      <c r="D181" s="89"/>
      <c r="E181" s="89"/>
      <c r="F181" s="89"/>
      <c r="G181" s="89"/>
      <c r="H181" s="89"/>
      <c r="I181" s="89"/>
      <c r="J181" s="89"/>
      <c r="K181" s="89"/>
      <c r="L181" s="89"/>
      <c r="M181" s="284"/>
      <c r="N181" s="285" t="s">
        <v>101</v>
      </c>
      <c r="O181" s="462">
        <f>D130</f>
        <v>0</v>
      </c>
      <c r="P181" s="463">
        <v>6000</v>
      </c>
      <c r="Q181" s="672">
        <f>P181*O181</f>
        <v>0</v>
      </c>
      <c r="R181" s="97"/>
      <c r="S181" s="98"/>
      <c r="T181" s="98"/>
      <c r="U181" s="98"/>
      <c r="V181" s="98"/>
    </row>
    <row r="182" spans="1:22" ht="14.1" customHeight="1" x14ac:dyDescent="0.2">
      <c r="B182" s="99" t="s">
        <v>160</v>
      </c>
      <c r="C182" s="89"/>
      <c r="D182" s="89"/>
      <c r="E182" s="89"/>
      <c r="F182" s="89"/>
      <c r="G182" s="89"/>
      <c r="H182" s="89"/>
      <c r="I182" s="89"/>
      <c r="J182" s="89"/>
      <c r="K182" s="89"/>
      <c r="L182" s="89"/>
      <c r="M182" s="89"/>
      <c r="N182" s="89"/>
      <c r="O182" s="112"/>
      <c r="P182" s="932" t="str">
        <f>IFERROR(IF(Q154&lt;0,"Let op: er is geen sprake van een onrendabele top",""),"")</f>
        <v/>
      </c>
      <c r="Q182" s="460" t="e">
        <f>MAX(MIN(Q178:Q181),0)</f>
        <v>#N/A</v>
      </c>
      <c r="R182" s="873"/>
      <c r="S182" s="422"/>
      <c r="T182" s="422"/>
      <c r="U182" s="98"/>
      <c r="V182" s="98"/>
    </row>
    <row r="183" spans="1:22" ht="14.1" customHeight="1" x14ac:dyDescent="0.2">
      <c r="A183" s="60"/>
      <c r="B183" s="246" t="s">
        <v>159</v>
      </c>
      <c r="C183" s="247"/>
      <c r="D183" s="247"/>
      <c r="E183" s="247"/>
      <c r="F183" s="247"/>
      <c r="G183" s="247"/>
      <c r="H183" s="247"/>
      <c r="I183" s="247"/>
      <c r="J183" s="247"/>
      <c r="K183" s="247"/>
      <c r="L183" s="247"/>
      <c r="M183" s="247"/>
      <c r="N183" s="247"/>
      <c r="O183" s="247"/>
      <c r="P183" s="933" t="str">
        <f>IF(ISERROR(Q154),"",IF(Q154&lt;0,"Let op: er is geen sprake van een onrendabele top",IF(Q183&lt;1,"Let op: Vergeet niet de door u gevraagde subsidie in te vullen! → ",IF(Q183&gt;Q182,"LET OP: U vraagt meer dan de maximale subsidie aan! ",IF(Q183&lt;Q182,"LET OP: u vraagt minder aan dan de maximale steun","")))))</f>
        <v/>
      </c>
      <c r="Q183" s="528"/>
      <c r="R183" s="422"/>
      <c r="S183" s="422"/>
      <c r="T183" s="422"/>
    </row>
    <row r="184" spans="1:22" ht="14.1" customHeight="1" x14ac:dyDescent="0.2">
      <c r="B184" s="77"/>
      <c r="C184" s="100"/>
      <c r="D184" s="100"/>
      <c r="E184" s="100"/>
      <c r="F184" s="100"/>
      <c r="G184" s="100"/>
      <c r="H184" s="100"/>
      <c r="I184" s="100"/>
      <c r="Q184" s="101"/>
      <c r="R184" s="422"/>
      <c r="S184" s="422"/>
      <c r="T184" s="422"/>
    </row>
    <row r="185" spans="1:22" s="205" customFormat="1" ht="14.25" x14ac:dyDescent="0.2">
      <c r="A185" s="199"/>
      <c r="B185" s="200" t="s">
        <v>184</v>
      </c>
      <c r="C185" s="216"/>
      <c r="D185" s="202"/>
      <c r="E185" s="216"/>
      <c r="F185" s="216"/>
      <c r="G185" s="216"/>
      <c r="H185" s="216"/>
      <c r="I185" s="216"/>
      <c r="J185" s="216"/>
      <c r="K185" s="216"/>
      <c r="L185" s="216"/>
      <c r="M185" s="216"/>
      <c r="N185" s="216"/>
      <c r="O185" s="216"/>
      <c r="P185" s="216"/>
      <c r="Q185" s="218"/>
      <c r="R185" s="204"/>
      <c r="S185" s="204"/>
      <c r="T185" s="204"/>
    </row>
    <row r="186" spans="1:22" ht="14.1" customHeight="1" x14ac:dyDescent="0.15">
      <c r="B186" s="102"/>
      <c r="C186" s="103"/>
      <c r="D186" s="102"/>
      <c r="E186" s="103"/>
      <c r="F186" s="103"/>
      <c r="G186" s="103"/>
      <c r="H186" s="103"/>
      <c r="I186" s="103"/>
      <c r="J186" s="103"/>
      <c r="K186" s="103"/>
      <c r="L186" s="103"/>
      <c r="M186" s="103"/>
      <c r="N186" s="103"/>
      <c r="O186" s="103"/>
      <c r="P186" s="103"/>
      <c r="Q186" s="104"/>
      <c r="R186" s="62"/>
    </row>
    <row r="187" spans="1:22" ht="14.1" customHeight="1" x14ac:dyDescent="0.15">
      <c r="B187" s="105" t="s">
        <v>70</v>
      </c>
      <c r="C187" s="88"/>
      <c r="D187" s="106"/>
      <c r="E187" s="106"/>
      <c r="F187" s="106"/>
      <c r="G187" s="106"/>
      <c r="H187" s="106"/>
      <c r="I187" s="106"/>
      <c r="J187" s="106"/>
      <c r="K187" s="106"/>
      <c r="L187" s="106"/>
      <c r="M187" s="106"/>
      <c r="N187" s="106"/>
      <c r="O187" s="106"/>
      <c r="P187" s="106"/>
      <c r="Q187" s="194">
        <f>Q172</f>
        <v>0</v>
      </c>
      <c r="R187" s="62"/>
    </row>
    <row r="188" spans="1:22" ht="14.1" customHeight="1" x14ac:dyDescent="0.15">
      <c r="B188" s="241" t="s">
        <v>531</v>
      </c>
      <c r="C188" s="88"/>
      <c r="D188" s="106"/>
      <c r="E188" s="106"/>
      <c r="F188" s="106"/>
      <c r="G188" s="106"/>
      <c r="H188" s="106"/>
      <c r="I188" s="106"/>
      <c r="J188" s="106"/>
      <c r="K188" s="106"/>
      <c r="L188" s="106"/>
      <c r="M188" s="106"/>
      <c r="N188" s="106"/>
      <c r="O188" s="106"/>
      <c r="P188" s="106"/>
      <c r="Q188" s="194">
        <f>+Q176</f>
        <v>0</v>
      </c>
      <c r="R188" s="62"/>
    </row>
    <row r="189" spans="1:22" ht="14.1" customHeight="1" x14ac:dyDescent="0.15">
      <c r="B189" s="105" t="s">
        <v>161</v>
      </c>
      <c r="C189" s="248"/>
      <c r="D189" s="249"/>
      <c r="E189" s="249"/>
      <c r="F189" s="249"/>
      <c r="G189" s="249"/>
      <c r="H189" s="249"/>
      <c r="I189" s="249"/>
      <c r="J189" s="249"/>
      <c r="K189" s="249"/>
      <c r="L189" s="249"/>
      <c r="M189" s="249"/>
      <c r="N189" s="249"/>
      <c r="O189" s="249"/>
      <c r="P189" s="249"/>
      <c r="Q189" s="194" t="e">
        <f>+Q182</f>
        <v>#N/A</v>
      </c>
      <c r="R189" s="62"/>
    </row>
    <row r="190" spans="1:22" ht="14.1" customHeight="1" x14ac:dyDescent="0.15">
      <c r="B190" s="256" t="s">
        <v>532</v>
      </c>
      <c r="C190" s="248"/>
      <c r="D190" s="249"/>
      <c r="E190" s="249"/>
      <c r="F190" s="249"/>
      <c r="G190" s="249"/>
      <c r="H190" s="249"/>
      <c r="I190" s="249"/>
      <c r="J190" s="249"/>
      <c r="K190" s="249"/>
      <c r="L190" s="249"/>
      <c r="M190" s="249"/>
      <c r="N190" s="249"/>
      <c r="O190" s="249"/>
      <c r="P190" s="249"/>
      <c r="Q190" s="194">
        <f>O181*G175</f>
        <v>0</v>
      </c>
      <c r="R190" s="62"/>
    </row>
    <row r="191" spans="1:22" ht="14.1" customHeight="1" x14ac:dyDescent="0.15">
      <c r="B191" s="256"/>
      <c r="C191" s="248"/>
      <c r="D191" s="249"/>
      <c r="E191" s="249"/>
      <c r="F191" s="249"/>
      <c r="G191" s="249"/>
      <c r="H191" s="249"/>
      <c r="I191" s="249"/>
      <c r="J191" s="249"/>
      <c r="K191" s="249"/>
      <c r="L191" s="249"/>
      <c r="M191" s="249"/>
      <c r="N191" s="249"/>
      <c r="O191" s="249"/>
      <c r="P191" s="249"/>
      <c r="Q191" s="268"/>
      <c r="R191" s="62"/>
    </row>
    <row r="192" spans="1:22" ht="14.1" customHeight="1" x14ac:dyDescent="0.15">
      <c r="B192" s="572" t="s">
        <v>27</v>
      </c>
      <c r="C192" s="573"/>
      <c r="D192" s="573"/>
      <c r="E192" s="573"/>
      <c r="F192" s="574"/>
      <c r="G192" s="574"/>
      <c r="H192" s="574"/>
      <c r="I192" s="574"/>
      <c r="J192" s="574"/>
      <c r="K192" s="574"/>
      <c r="L192" s="574"/>
      <c r="M192" s="574"/>
      <c r="N192" s="574"/>
      <c r="O192" s="574"/>
      <c r="P192" s="574" t="s">
        <v>126</v>
      </c>
      <c r="Q192" s="193" t="e">
        <f>+Q187-Q188-Q189-Q190</f>
        <v>#N/A</v>
      </c>
      <c r="R192" s="62"/>
    </row>
    <row r="193" spans="1:17" ht="14.1" customHeight="1" x14ac:dyDescent="0.15">
      <c r="B193" s="81"/>
      <c r="C193" s="81"/>
      <c r="D193" s="81"/>
      <c r="I193" s="107"/>
    </row>
    <row r="194" spans="1:17" s="205" customFormat="1" ht="14.25" x14ac:dyDescent="0.2">
      <c r="A194" s="199"/>
      <c r="B194" s="200" t="s">
        <v>185</v>
      </c>
      <c r="C194" s="219"/>
      <c r="D194" s="219"/>
      <c r="E194" s="219"/>
      <c r="F194" s="219"/>
      <c r="G194" s="219"/>
      <c r="H194" s="219"/>
      <c r="I194" s="219"/>
      <c r="J194" s="219"/>
      <c r="K194" s="219"/>
      <c r="L194" s="219"/>
      <c r="M194" s="219"/>
      <c r="N194" s="219"/>
      <c r="O194" s="219"/>
      <c r="P194" s="219"/>
      <c r="Q194" s="219"/>
    </row>
    <row r="195" spans="1:17" x14ac:dyDescent="0.15">
      <c r="B195" s="529"/>
      <c r="C195" s="530"/>
      <c r="D195" s="530"/>
      <c r="E195" s="530"/>
      <c r="F195" s="530"/>
      <c r="G195" s="530"/>
      <c r="H195" s="530"/>
      <c r="I195" s="530"/>
      <c r="J195" s="530"/>
      <c r="K195" s="530"/>
      <c r="L195" s="530"/>
      <c r="M195" s="530"/>
      <c r="N195" s="530"/>
      <c r="O195" s="530"/>
      <c r="P195" s="530"/>
      <c r="Q195" s="531"/>
    </row>
    <row r="196" spans="1:17" ht="14.25" customHeight="1" x14ac:dyDescent="0.15">
      <c r="B196" s="532"/>
      <c r="C196" s="533"/>
      <c r="D196" s="533"/>
      <c r="E196" s="533"/>
      <c r="F196" s="533"/>
      <c r="G196" s="533"/>
      <c r="H196" s="533"/>
      <c r="I196" s="533"/>
      <c r="J196" s="533"/>
      <c r="K196" s="533"/>
      <c r="L196" s="533"/>
      <c r="M196" s="533"/>
      <c r="N196" s="533"/>
      <c r="O196" s="533"/>
      <c r="P196" s="533"/>
      <c r="Q196" s="534"/>
    </row>
    <row r="197" spans="1:17" ht="14.25" customHeight="1" x14ac:dyDescent="0.15">
      <c r="B197" s="532"/>
      <c r="C197" s="533"/>
      <c r="D197" s="533"/>
      <c r="E197" s="533"/>
      <c r="F197" s="533"/>
      <c r="G197" s="533"/>
      <c r="H197" s="533"/>
      <c r="I197" s="533"/>
      <c r="J197" s="533"/>
      <c r="K197" s="533"/>
      <c r="L197" s="533"/>
      <c r="M197" s="533"/>
      <c r="N197" s="533"/>
      <c r="O197" s="533"/>
      <c r="P197" s="533"/>
      <c r="Q197" s="534"/>
    </row>
    <row r="198" spans="1:17" ht="14.25" customHeight="1" x14ac:dyDescent="0.15">
      <c r="B198" s="532"/>
      <c r="C198" s="533"/>
      <c r="D198" s="533"/>
      <c r="E198" s="533"/>
      <c r="F198" s="533"/>
      <c r="G198" s="533"/>
      <c r="H198" s="533"/>
      <c r="I198" s="533"/>
      <c r="J198" s="533"/>
      <c r="K198" s="533"/>
      <c r="L198" s="533"/>
      <c r="M198" s="533"/>
      <c r="N198" s="533"/>
      <c r="O198" s="533"/>
      <c r="P198" s="533"/>
      <c r="Q198" s="534"/>
    </row>
    <row r="199" spans="1:17" x14ac:dyDescent="0.15">
      <c r="B199" s="532"/>
      <c r="C199" s="533"/>
      <c r="D199" s="533"/>
      <c r="E199" s="533"/>
      <c r="F199" s="533"/>
      <c r="G199" s="533"/>
      <c r="H199" s="533"/>
      <c r="I199" s="533"/>
      <c r="J199" s="533"/>
      <c r="K199" s="533"/>
      <c r="L199" s="533"/>
      <c r="M199" s="533"/>
      <c r="N199" s="533"/>
      <c r="O199" s="533"/>
      <c r="P199" s="533"/>
      <c r="Q199" s="534"/>
    </row>
    <row r="200" spans="1:17" x14ac:dyDescent="0.15">
      <c r="B200" s="532"/>
      <c r="C200" s="533"/>
      <c r="D200" s="533"/>
      <c r="E200" s="533"/>
      <c r="F200" s="533"/>
      <c r="G200" s="533"/>
      <c r="H200" s="533"/>
      <c r="I200" s="533"/>
      <c r="J200" s="533"/>
      <c r="K200" s="533"/>
      <c r="L200" s="533"/>
      <c r="M200" s="533"/>
      <c r="N200" s="533"/>
      <c r="O200" s="533"/>
      <c r="P200" s="533"/>
      <c r="Q200" s="534"/>
    </row>
    <row r="201" spans="1:17" ht="14.25" customHeight="1" x14ac:dyDescent="0.15">
      <c r="B201" s="532"/>
      <c r="C201" s="533"/>
      <c r="D201" s="533"/>
      <c r="E201" s="533"/>
      <c r="F201" s="533"/>
      <c r="G201" s="533"/>
      <c r="H201" s="533"/>
      <c r="I201" s="533"/>
      <c r="J201" s="533"/>
      <c r="K201" s="533"/>
      <c r="L201" s="533"/>
      <c r="M201" s="533"/>
      <c r="N201" s="533"/>
      <c r="O201" s="533"/>
      <c r="P201" s="533"/>
      <c r="Q201" s="534"/>
    </row>
    <row r="202" spans="1:17" ht="14.25" customHeight="1" x14ac:dyDescent="0.15">
      <c r="B202" s="532"/>
      <c r="C202" s="533"/>
      <c r="D202" s="533"/>
      <c r="E202" s="533"/>
      <c r="F202" s="533"/>
      <c r="G202" s="533"/>
      <c r="H202" s="533"/>
      <c r="I202" s="533"/>
      <c r="J202" s="533"/>
      <c r="K202" s="533"/>
      <c r="L202" s="533"/>
      <c r="M202" s="533"/>
      <c r="N202" s="533"/>
      <c r="O202" s="533"/>
      <c r="P202" s="533"/>
      <c r="Q202" s="534"/>
    </row>
    <row r="203" spans="1:17" ht="14.25" customHeight="1" x14ac:dyDescent="0.15">
      <c r="B203" s="532"/>
      <c r="C203" s="533"/>
      <c r="D203" s="533"/>
      <c r="E203" s="533"/>
      <c r="F203" s="533"/>
      <c r="G203" s="533"/>
      <c r="H203" s="533"/>
      <c r="I203" s="533"/>
      <c r="J203" s="533"/>
      <c r="K203" s="533"/>
      <c r="L203" s="533"/>
      <c r="M203" s="533"/>
      <c r="N203" s="533"/>
      <c r="O203" s="533"/>
      <c r="P203" s="533"/>
      <c r="Q203" s="534"/>
    </row>
    <row r="204" spans="1:17" x14ac:dyDescent="0.15">
      <c r="B204" s="532"/>
      <c r="C204" s="533"/>
      <c r="D204" s="533"/>
      <c r="E204" s="533"/>
      <c r="F204" s="533"/>
      <c r="G204" s="533"/>
      <c r="H204" s="533"/>
      <c r="I204" s="533"/>
      <c r="J204" s="533"/>
      <c r="K204" s="533"/>
      <c r="L204" s="533"/>
      <c r="M204" s="533"/>
      <c r="N204" s="533"/>
      <c r="O204" s="533"/>
      <c r="P204" s="533"/>
      <c r="Q204" s="534"/>
    </row>
    <row r="205" spans="1:17" x14ac:dyDescent="0.15">
      <c r="B205" s="532"/>
      <c r="C205" s="533"/>
      <c r="D205" s="533"/>
      <c r="E205" s="533"/>
      <c r="F205" s="533"/>
      <c r="G205" s="533"/>
      <c r="H205" s="533"/>
      <c r="I205" s="533"/>
      <c r="J205" s="533"/>
      <c r="K205" s="533"/>
      <c r="L205" s="533"/>
      <c r="M205" s="533"/>
      <c r="N205" s="533"/>
      <c r="O205" s="533"/>
      <c r="P205" s="533"/>
      <c r="Q205" s="534"/>
    </row>
    <row r="206" spans="1:17" ht="14.25" customHeight="1" x14ac:dyDescent="0.15">
      <c r="B206" s="532"/>
      <c r="C206" s="533"/>
      <c r="D206" s="533"/>
      <c r="E206" s="533"/>
      <c r="F206" s="533"/>
      <c r="G206" s="533"/>
      <c r="H206" s="533"/>
      <c r="I206" s="533"/>
      <c r="J206" s="533"/>
      <c r="K206" s="533"/>
      <c r="L206" s="533"/>
      <c r="M206" s="533"/>
      <c r="N206" s="533"/>
      <c r="O206" s="533"/>
      <c r="P206" s="533"/>
      <c r="Q206" s="534"/>
    </row>
    <row r="207" spans="1:17" ht="14.25" customHeight="1" x14ac:dyDescent="0.15">
      <c r="B207" s="532"/>
      <c r="C207" s="533"/>
      <c r="D207" s="533"/>
      <c r="E207" s="533"/>
      <c r="F207" s="533"/>
      <c r="G207" s="533"/>
      <c r="H207" s="533"/>
      <c r="I207" s="533"/>
      <c r="J207" s="533"/>
      <c r="K207" s="533"/>
      <c r="L207" s="533"/>
      <c r="M207" s="533"/>
      <c r="N207" s="533"/>
      <c r="O207" s="533"/>
      <c r="P207" s="533"/>
      <c r="Q207" s="534"/>
    </row>
    <row r="208" spans="1:17" ht="14.25" customHeight="1" x14ac:dyDescent="0.15">
      <c r="B208" s="532"/>
      <c r="C208" s="533"/>
      <c r="D208" s="533"/>
      <c r="E208" s="533"/>
      <c r="F208" s="533"/>
      <c r="G208" s="533"/>
      <c r="H208" s="533"/>
      <c r="I208" s="533"/>
      <c r="J208" s="533"/>
      <c r="K208" s="533"/>
      <c r="L208" s="533"/>
      <c r="M208" s="533"/>
      <c r="N208" s="533"/>
      <c r="O208" s="533"/>
      <c r="P208" s="533"/>
      <c r="Q208" s="534"/>
    </row>
    <row r="209" spans="2:17" x14ac:dyDescent="0.15">
      <c r="B209" s="532"/>
      <c r="C209" s="533"/>
      <c r="D209" s="533"/>
      <c r="E209" s="533"/>
      <c r="F209" s="533"/>
      <c r="G209" s="533"/>
      <c r="H209" s="533"/>
      <c r="I209" s="533"/>
      <c r="J209" s="533"/>
      <c r="K209" s="533"/>
      <c r="L209" s="533"/>
      <c r="M209" s="533"/>
      <c r="N209" s="533"/>
      <c r="O209" s="533"/>
      <c r="P209" s="533"/>
      <c r="Q209" s="534"/>
    </row>
    <row r="210" spans="2:17" x14ac:dyDescent="0.15">
      <c r="B210" s="532"/>
      <c r="C210" s="533"/>
      <c r="D210" s="533"/>
      <c r="E210" s="533"/>
      <c r="F210" s="533"/>
      <c r="G210" s="533"/>
      <c r="H210" s="533"/>
      <c r="I210" s="533"/>
      <c r="J210" s="533"/>
      <c r="K210" s="533"/>
      <c r="L210" s="533"/>
      <c r="M210" s="533"/>
      <c r="N210" s="533"/>
      <c r="O210" s="533"/>
      <c r="P210" s="533"/>
      <c r="Q210" s="534"/>
    </row>
    <row r="211" spans="2:17" ht="14.25" customHeight="1" x14ac:dyDescent="0.15">
      <c r="B211" s="532"/>
      <c r="C211" s="533"/>
      <c r="D211" s="533"/>
      <c r="E211" s="533"/>
      <c r="F211" s="533"/>
      <c r="G211" s="533"/>
      <c r="H211" s="533"/>
      <c r="I211" s="533"/>
      <c r="J211" s="533"/>
      <c r="K211" s="533"/>
      <c r="L211" s="533"/>
      <c r="M211" s="533"/>
      <c r="N211" s="533"/>
      <c r="O211" s="533"/>
      <c r="P211" s="533"/>
      <c r="Q211" s="534"/>
    </row>
    <row r="212" spans="2:17" ht="14.25" customHeight="1" x14ac:dyDescent="0.15">
      <c r="B212" s="532"/>
      <c r="C212" s="533"/>
      <c r="D212" s="533"/>
      <c r="E212" s="533"/>
      <c r="F212" s="533"/>
      <c r="G212" s="533"/>
      <c r="H212" s="533"/>
      <c r="I212" s="533"/>
      <c r="J212" s="533"/>
      <c r="K212" s="533"/>
      <c r="L212" s="533"/>
      <c r="M212" s="533"/>
      <c r="N212" s="533"/>
      <c r="O212" s="533"/>
      <c r="P212" s="533"/>
      <c r="Q212" s="534"/>
    </row>
    <row r="213" spans="2:17" ht="14.25" customHeight="1" x14ac:dyDescent="0.15">
      <c r="B213" s="532"/>
      <c r="C213" s="533"/>
      <c r="D213" s="533"/>
      <c r="E213" s="533"/>
      <c r="F213" s="533"/>
      <c r="G213" s="533"/>
      <c r="H213" s="533"/>
      <c r="I213" s="533"/>
      <c r="J213" s="533"/>
      <c r="K213" s="533"/>
      <c r="L213" s="533"/>
      <c r="M213" s="533"/>
      <c r="N213" s="533"/>
      <c r="O213" s="533"/>
      <c r="P213" s="533"/>
      <c r="Q213" s="534"/>
    </row>
    <row r="214" spans="2:17" x14ac:dyDescent="0.15">
      <c r="B214" s="532"/>
      <c r="C214" s="533"/>
      <c r="D214" s="533"/>
      <c r="E214" s="533"/>
      <c r="F214" s="533"/>
      <c r="G214" s="533"/>
      <c r="H214" s="533"/>
      <c r="I214" s="533"/>
      <c r="J214" s="533"/>
      <c r="K214" s="533"/>
      <c r="L214" s="533"/>
      <c r="M214" s="533"/>
      <c r="N214" s="533"/>
      <c r="O214" s="533"/>
      <c r="P214" s="533"/>
      <c r="Q214" s="534"/>
    </row>
    <row r="215" spans="2:17" x14ac:dyDescent="0.15">
      <c r="B215" s="532"/>
      <c r="C215" s="533"/>
      <c r="D215" s="533"/>
      <c r="E215" s="533"/>
      <c r="F215" s="533"/>
      <c r="G215" s="533"/>
      <c r="H215" s="533"/>
      <c r="I215" s="533"/>
      <c r="J215" s="533"/>
      <c r="K215" s="533"/>
      <c r="L215" s="533"/>
      <c r="M215" s="533"/>
      <c r="N215" s="533"/>
      <c r="O215" s="533"/>
      <c r="P215" s="533"/>
      <c r="Q215" s="534"/>
    </row>
    <row r="216" spans="2:17" ht="14.25" customHeight="1" x14ac:dyDescent="0.15">
      <c r="B216" s="532"/>
      <c r="C216" s="533"/>
      <c r="D216" s="533"/>
      <c r="E216" s="533"/>
      <c r="F216" s="533"/>
      <c r="G216" s="533"/>
      <c r="H216" s="533"/>
      <c r="I216" s="533"/>
      <c r="J216" s="533"/>
      <c r="K216" s="533"/>
      <c r="L216" s="533"/>
      <c r="M216" s="533"/>
      <c r="N216" s="533"/>
      <c r="O216" s="533"/>
      <c r="P216" s="533"/>
      <c r="Q216" s="534"/>
    </row>
    <row r="217" spans="2:17" ht="14.25" customHeight="1" x14ac:dyDescent="0.15">
      <c r="B217" s="532"/>
      <c r="C217" s="533"/>
      <c r="D217" s="533"/>
      <c r="E217" s="533"/>
      <c r="F217" s="533"/>
      <c r="G217" s="533"/>
      <c r="H217" s="533"/>
      <c r="I217" s="533"/>
      <c r="J217" s="533"/>
      <c r="K217" s="533"/>
      <c r="L217" s="533"/>
      <c r="M217" s="533"/>
      <c r="N217" s="533"/>
      <c r="O217" s="533"/>
      <c r="P217" s="533"/>
      <c r="Q217" s="534"/>
    </row>
    <row r="218" spans="2:17" ht="14.25" customHeight="1" x14ac:dyDescent="0.15">
      <c r="B218" s="532"/>
      <c r="C218" s="533"/>
      <c r="D218" s="533"/>
      <c r="E218" s="533"/>
      <c r="F218" s="533"/>
      <c r="G218" s="533"/>
      <c r="H218" s="533"/>
      <c r="I218" s="533"/>
      <c r="J218" s="533"/>
      <c r="K218" s="533"/>
      <c r="L218" s="533"/>
      <c r="M218" s="533"/>
      <c r="N218" s="533"/>
      <c r="O218" s="533"/>
      <c r="P218" s="533"/>
      <c r="Q218" s="534"/>
    </row>
    <row r="219" spans="2:17" x14ac:dyDescent="0.15">
      <c r="B219" s="532"/>
      <c r="C219" s="533"/>
      <c r="D219" s="533"/>
      <c r="E219" s="533"/>
      <c r="F219" s="533"/>
      <c r="G219" s="533"/>
      <c r="H219" s="533"/>
      <c r="I219" s="533"/>
      <c r="J219" s="533"/>
      <c r="K219" s="533"/>
      <c r="L219" s="533"/>
      <c r="M219" s="533"/>
      <c r="N219" s="533"/>
      <c r="O219" s="533"/>
      <c r="P219" s="533"/>
      <c r="Q219" s="534"/>
    </row>
    <row r="220" spans="2:17" x14ac:dyDescent="0.15">
      <c r="B220" s="532"/>
      <c r="C220" s="533"/>
      <c r="D220" s="533"/>
      <c r="E220" s="533"/>
      <c r="F220" s="533"/>
      <c r="G220" s="533"/>
      <c r="H220" s="533"/>
      <c r="I220" s="533"/>
      <c r="J220" s="533"/>
      <c r="K220" s="533"/>
      <c r="L220" s="533"/>
      <c r="M220" s="533"/>
      <c r="N220" s="533"/>
      <c r="O220" s="533"/>
      <c r="P220" s="533"/>
      <c r="Q220" s="534"/>
    </row>
    <row r="221" spans="2:17" ht="14.25" customHeight="1" x14ac:dyDescent="0.15">
      <c r="B221" s="532"/>
      <c r="C221" s="533"/>
      <c r="D221" s="533"/>
      <c r="E221" s="533"/>
      <c r="F221" s="533"/>
      <c r="G221" s="533"/>
      <c r="H221" s="533"/>
      <c r="I221" s="533"/>
      <c r="J221" s="533"/>
      <c r="K221" s="533"/>
      <c r="L221" s="533"/>
      <c r="M221" s="533"/>
      <c r="N221" s="533"/>
      <c r="O221" s="533"/>
      <c r="P221" s="533"/>
      <c r="Q221" s="534"/>
    </row>
    <row r="222" spans="2:17" ht="14.25" customHeight="1" x14ac:dyDescent="0.15">
      <c r="B222" s="532"/>
      <c r="C222" s="533"/>
      <c r="D222" s="533"/>
      <c r="E222" s="533"/>
      <c r="F222" s="533"/>
      <c r="G222" s="533"/>
      <c r="H222" s="533"/>
      <c r="I222" s="533"/>
      <c r="J222" s="533"/>
      <c r="K222" s="533"/>
      <c r="L222" s="533"/>
      <c r="M222" s="533"/>
      <c r="N222" s="533"/>
      <c r="O222" s="533"/>
      <c r="P222" s="533"/>
      <c r="Q222" s="534"/>
    </row>
    <row r="223" spans="2:17" ht="14.25" customHeight="1" x14ac:dyDescent="0.15">
      <c r="B223" s="532"/>
      <c r="C223" s="533"/>
      <c r="D223" s="533"/>
      <c r="E223" s="533"/>
      <c r="F223" s="533"/>
      <c r="G223" s="533"/>
      <c r="H223" s="533"/>
      <c r="I223" s="533"/>
      <c r="J223" s="533"/>
      <c r="K223" s="533"/>
      <c r="L223" s="533"/>
      <c r="M223" s="533"/>
      <c r="N223" s="533"/>
      <c r="O223" s="533"/>
      <c r="P223" s="533"/>
      <c r="Q223" s="534"/>
    </row>
    <row r="224" spans="2:17" x14ac:dyDescent="0.15">
      <c r="B224" s="532"/>
      <c r="C224" s="533"/>
      <c r="D224" s="533"/>
      <c r="E224" s="533"/>
      <c r="F224" s="533"/>
      <c r="G224" s="533"/>
      <c r="H224" s="533"/>
      <c r="I224" s="533"/>
      <c r="J224" s="533"/>
      <c r="K224" s="533"/>
      <c r="L224" s="533"/>
      <c r="M224" s="533"/>
      <c r="N224" s="533"/>
      <c r="O224" s="533"/>
      <c r="P224" s="533"/>
      <c r="Q224" s="534"/>
    </row>
    <row r="225" spans="2:17" x14ac:dyDescent="0.15">
      <c r="B225" s="532"/>
      <c r="C225" s="533"/>
      <c r="D225" s="533"/>
      <c r="E225" s="533"/>
      <c r="F225" s="533"/>
      <c r="G225" s="533"/>
      <c r="H225" s="533"/>
      <c r="I225" s="533"/>
      <c r="J225" s="533"/>
      <c r="K225" s="533"/>
      <c r="L225" s="533"/>
      <c r="M225" s="533"/>
      <c r="N225" s="533"/>
      <c r="O225" s="533"/>
      <c r="P225" s="533"/>
      <c r="Q225" s="534"/>
    </row>
    <row r="226" spans="2:17" ht="14.25" customHeight="1" x14ac:dyDescent="0.15">
      <c r="B226" s="532"/>
      <c r="C226" s="533"/>
      <c r="D226" s="533"/>
      <c r="E226" s="533"/>
      <c r="F226" s="533"/>
      <c r="G226" s="533"/>
      <c r="H226" s="533"/>
      <c r="I226" s="533"/>
      <c r="J226" s="533"/>
      <c r="K226" s="533"/>
      <c r="L226" s="533"/>
      <c r="M226" s="533"/>
      <c r="N226" s="533"/>
      <c r="O226" s="533"/>
      <c r="P226" s="533"/>
      <c r="Q226" s="534"/>
    </row>
    <row r="227" spans="2:17" ht="14.25" customHeight="1" x14ac:dyDescent="0.15">
      <c r="B227" s="532"/>
      <c r="C227" s="533"/>
      <c r="D227" s="533"/>
      <c r="E227" s="533"/>
      <c r="F227" s="533"/>
      <c r="G227" s="533"/>
      <c r="H227" s="533"/>
      <c r="I227" s="533"/>
      <c r="J227" s="533"/>
      <c r="K227" s="533"/>
      <c r="L227" s="533"/>
      <c r="M227" s="533"/>
      <c r="N227" s="533"/>
      <c r="O227" s="533"/>
      <c r="P227" s="533"/>
      <c r="Q227" s="534"/>
    </row>
    <row r="228" spans="2:17" ht="14.25" customHeight="1" x14ac:dyDescent="0.15">
      <c r="B228" s="532"/>
      <c r="C228" s="533"/>
      <c r="D228" s="533"/>
      <c r="E228" s="533"/>
      <c r="F228" s="533"/>
      <c r="G228" s="533"/>
      <c r="H228" s="533"/>
      <c r="I228" s="533"/>
      <c r="J228" s="533"/>
      <c r="K228" s="533"/>
      <c r="L228" s="533"/>
      <c r="M228" s="533"/>
      <c r="N228" s="533"/>
      <c r="O228" s="533"/>
      <c r="P228" s="533"/>
      <c r="Q228" s="534"/>
    </row>
    <row r="229" spans="2:17" x14ac:dyDescent="0.15">
      <c r="B229" s="532"/>
      <c r="C229" s="533"/>
      <c r="D229" s="533"/>
      <c r="E229" s="533"/>
      <c r="F229" s="533"/>
      <c r="G229" s="533"/>
      <c r="H229" s="533"/>
      <c r="I229" s="533"/>
      <c r="J229" s="533"/>
      <c r="K229" s="533"/>
      <c r="L229" s="533"/>
      <c r="M229" s="533"/>
      <c r="N229" s="533"/>
      <c r="O229" s="533"/>
      <c r="P229" s="533"/>
      <c r="Q229" s="534"/>
    </row>
    <row r="230" spans="2:17" x14ac:dyDescent="0.15">
      <c r="B230" s="532"/>
      <c r="C230" s="533"/>
      <c r="D230" s="533"/>
      <c r="E230" s="533"/>
      <c r="F230" s="533"/>
      <c r="G230" s="533"/>
      <c r="H230" s="533"/>
      <c r="I230" s="533"/>
      <c r="J230" s="533"/>
      <c r="K230" s="533"/>
      <c r="L230" s="533"/>
      <c r="M230" s="533"/>
      <c r="N230" s="533"/>
      <c r="O230" s="533"/>
      <c r="P230" s="533"/>
      <c r="Q230" s="534"/>
    </row>
    <row r="231" spans="2:17" ht="14.25" customHeight="1" x14ac:dyDescent="0.15">
      <c r="B231" s="532"/>
      <c r="C231" s="533"/>
      <c r="D231" s="533"/>
      <c r="E231" s="533"/>
      <c r="F231" s="533"/>
      <c r="G231" s="533"/>
      <c r="H231" s="533"/>
      <c r="I231" s="533"/>
      <c r="J231" s="533"/>
      <c r="K231" s="533"/>
      <c r="L231" s="533"/>
      <c r="M231" s="533"/>
      <c r="N231" s="533"/>
      <c r="O231" s="533"/>
      <c r="P231" s="533"/>
      <c r="Q231" s="534"/>
    </row>
    <row r="232" spans="2:17" ht="14.25" customHeight="1" x14ac:dyDescent="0.15">
      <c r="B232" s="532"/>
      <c r="C232" s="533"/>
      <c r="D232" s="533"/>
      <c r="E232" s="533"/>
      <c r="F232" s="533"/>
      <c r="G232" s="533"/>
      <c r="H232" s="533"/>
      <c r="I232" s="533"/>
      <c r="J232" s="533"/>
      <c r="K232" s="533"/>
      <c r="L232" s="533"/>
      <c r="M232" s="533"/>
      <c r="N232" s="533"/>
      <c r="O232" s="533"/>
      <c r="P232" s="533"/>
      <c r="Q232" s="534"/>
    </row>
    <row r="233" spans="2:17" ht="14.25" customHeight="1" x14ac:dyDescent="0.15">
      <c r="B233" s="532"/>
      <c r="C233" s="533"/>
      <c r="D233" s="533"/>
      <c r="E233" s="533"/>
      <c r="F233" s="533"/>
      <c r="G233" s="533"/>
      <c r="H233" s="533"/>
      <c r="I233" s="533"/>
      <c r="J233" s="533"/>
      <c r="K233" s="533"/>
      <c r="L233" s="533"/>
      <c r="M233" s="533"/>
      <c r="N233" s="533"/>
      <c r="O233" s="533"/>
      <c r="P233" s="533"/>
      <c r="Q233" s="534"/>
    </row>
    <row r="234" spans="2:17" x14ac:dyDescent="0.15">
      <c r="B234" s="532"/>
      <c r="C234" s="533"/>
      <c r="D234" s="533"/>
      <c r="E234" s="533"/>
      <c r="F234" s="533"/>
      <c r="G234" s="533"/>
      <c r="H234" s="533"/>
      <c r="I234" s="533"/>
      <c r="J234" s="533"/>
      <c r="K234" s="533"/>
      <c r="L234" s="533"/>
      <c r="M234" s="533"/>
      <c r="N234" s="533"/>
      <c r="O234" s="533"/>
      <c r="P234" s="533"/>
      <c r="Q234" s="534"/>
    </row>
    <row r="235" spans="2:17" x14ac:dyDescent="0.15">
      <c r="B235" s="532"/>
      <c r="C235" s="533"/>
      <c r="D235" s="533"/>
      <c r="E235" s="533"/>
      <c r="F235" s="533"/>
      <c r="G235" s="533"/>
      <c r="H235" s="533"/>
      <c r="I235" s="533"/>
      <c r="J235" s="533"/>
      <c r="K235" s="533"/>
      <c r="L235" s="533"/>
      <c r="M235" s="533"/>
      <c r="N235" s="533"/>
      <c r="O235" s="533"/>
      <c r="P235" s="533"/>
      <c r="Q235" s="534"/>
    </row>
    <row r="236" spans="2:17" x14ac:dyDescent="0.15">
      <c r="B236" s="532"/>
      <c r="C236" s="533"/>
      <c r="D236" s="533"/>
      <c r="E236" s="533"/>
      <c r="F236" s="533"/>
      <c r="G236" s="533"/>
      <c r="H236" s="533"/>
      <c r="I236" s="533"/>
      <c r="J236" s="533"/>
      <c r="K236" s="533"/>
      <c r="L236" s="533"/>
      <c r="M236" s="533"/>
      <c r="N236" s="533"/>
      <c r="O236" s="533"/>
      <c r="P236" s="533"/>
      <c r="Q236" s="534"/>
    </row>
    <row r="237" spans="2:17" x14ac:dyDescent="0.15">
      <c r="B237" s="532"/>
      <c r="C237" s="533"/>
      <c r="D237" s="533"/>
      <c r="E237" s="533"/>
      <c r="F237" s="533"/>
      <c r="G237" s="533"/>
      <c r="H237" s="533"/>
      <c r="I237" s="533"/>
      <c r="J237" s="533"/>
      <c r="K237" s="533"/>
      <c r="L237" s="533"/>
      <c r="M237" s="533"/>
      <c r="N237" s="533"/>
      <c r="O237" s="533"/>
      <c r="P237" s="533"/>
      <c r="Q237" s="534"/>
    </row>
    <row r="238" spans="2:17" x14ac:dyDescent="0.15">
      <c r="B238" s="532"/>
      <c r="C238" s="533"/>
      <c r="D238" s="533"/>
      <c r="E238" s="533"/>
      <c r="F238" s="533"/>
      <c r="G238" s="533"/>
      <c r="H238" s="533"/>
      <c r="I238" s="533"/>
      <c r="J238" s="533"/>
      <c r="K238" s="533"/>
      <c r="L238" s="533"/>
      <c r="M238" s="533"/>
      <c r="N238" s="533"/>
      <c r="O238" s="533"/>
      <c r="P238" s="533"/>
      <c r="Q238" s="534"/>
    </row>
    <row r="239" spans="2:17" x14ac:dyDescent="0.15">
      <c r="B239" s="532"/>
      <c r="C239" s="533"/>
      <c r="D239" s="533"/>
      <c r="E239" s="533"/>
      <c r="F239" s="533"/>
      <c r="G239" s="533"/>
      <c r="H239" s="533"/>
      <c r="I239" s="533"/>
      <c r="J239" s="533"/>
      <c r="K239" s="533"/>
      <c r="L239" s="533"/>
      <c r="M239" s="533"/>
      <c r="N239" s="533"/>
      <c r="O239" s="533"/>
      <c r="P239" s="533"/>
      <c r="Q239" s="534"/>
    </row>
    <row r="240" spans="2:17" x14ac:dyDescent="0.15">
      <c r="B240" s="532"/>
      <c r="C240" s="533"/>
      <c r="D240" s="533"/>
      <c r="E240" s="533"/>
      <c r="F240" s="533"/>
      <c r="G240" s="533"/>
      <c r="H240" s="533"/>
      <c r="I240" s="533"/>
      <c r="J240" s="533"/>
      <c r="K240" s="533"/>
      <c r="L240" s="533"/>
      <c r="M240" s="533"/>
      <c r="N240" s="533"/>
      <c r="O240" s="533"/>
      <c r="P240" s="533"/>
      <c r="Q240" s="534"/>
    </row>
    <row r="241" spans="2:17" x14ac:dyDescent="0.15">
      <c r="B241" s="532"/>
      <c r="C241" s="533"/>
      <c r="D241" s="533"/>
      <c r="E241" s="533"/>
      <c r="F241" s="533"/>
      <c r="G241" s="533"/>
      <c r="H241" s="533"/>
      <c r="I241" s="533"/>
      <c r="J241" s="533"/>
      <c r="K241" s="533"/>
      <c r="L241" s="533"/>
      <c r="M241" s="533"/>
      <c r="N241" s="533"/>
      <c r="O241" s="533"/>
      <c r="P241" s="533"/>
      <c r="Q241" s="534"/>
    </row>
    <row r="242" spans="2:17" x14ac:dyDescent="0.15">
      <c r="B242" s="535"/>
      <c r="C242" s="536"/>
      <c r="D242" s="536"/>
      <c r="E242" s="536"/>
      <c r="F242" s="536"/>
      <c r="G242" s="536"/>
      <c r="H242" s="536"/>
      <c r="I242" s="536"/>
      <c r="J242" s="536"/>
      <c r="K242" s="536"/>
      <c r="L242" s="536"/>
      <c r="M242" s="536"/>
      <c r="N242" s="536"/>
      <c r="O242" s="536"/>
      <c r="P242" s="536"/>
      <c r="Q242" s="537"/>
    </row>
    <row r="243" spans="2:17" x14ac:dyDescent="0.15">
      <c r="B243" s="108"/>
      <c r="C243" s="108"/>
      <c r="D243" s="108"/>
      <c r="E243" s="108"/>
      <c r="F243" s="108"/>
      <c r="G243" s="108"/>
      <c r="H243" s="108"/>
      <c r="I243" s="108"/>
    </row>
    <row r="244" spans="2:17" x14ac:dyDescent="0.15">
      <c r="B244" s="108"/>
      <c r="C244" s="108"/>
      <c r="D244" s="108"/>
      <c r="E244" s="108"/>
      <c r="F244" s="108"/>
      <c r="G244" s="108"/>
      <c r="H244" s="108"/>
      <c r="I244" s="108"/>
    </row>
    <row r="245" spans="2:17" x14ac:dyDescent="0.15">
      <c r="B245" s="108"/>
      <c r="C245" s="108"/>
      <c r="D245" s="108"/>
      <c r="E245" s="108"/>
      <c r="F245" s="108"/>
      <c r="G245" s="108"/>
      <c r="H245" s="108"/>
      <c r="I245" s="108"/>
    </row>
    <row r="246" spans="2:17" x14ac:dyDescent="0.15">
      <c r="B246" s="109"/>
      <c r="C246" s="14"/>
      <c r="D246" s="14"/>
      <c r="E246" s="14"/>
      <c r="F246" s="14"/>
      <c r="G246" s="14"/>
      <c r="H246" s="14"/>
      <c r="I246" s="110"/>
    </row>
    <row r="247" spans="2:17" x14ac:dyDescent="0.15">
      <c r="B247" s="65"/>
      <c r="C247" s="65"/>
      <c r="D247" s="65"/>
      <c r="E247" s="65"/>
      <c r="F247" s="65"/>
      <c r="G247" s="65"/>
      <c r="H247" s="65"/>
      <c r="I247" s="65"/>
    </row>
  </sheetData>
  <sheetProtection algorithmName="SHA-512" hashValue="Cer9TLCVLdXEvfeZyY3tkrC2LiuXBVpIudGmqiy4tkA0wiHE4btHMlUyOE8bDO+OTtlSyshfQ1rq7ZOfwxPFyw==" saltValue="cpbCa+3YMWfsKQSLu4xpQA==" spinCount="100000" sheet="1" selectLockedCells="1"/>
  <mergeCells count="23">
    <mergeCell ref="C138:D138"/>
    <mergeCell ref="C139:D139"/>
    <mergeCell ref="C137:D137"/>
    <mergeCell ref="C136:D136"/>
    <mergeCell ref="H45:K45"/>
    <mergeCell ref="C145:D145"/>
    <mergeCell ref="C146:D146"/>
    <mergeCell ref="C140:D140"/>
    <mergeCell ref="C141:D141"/>
    <mergeCell ref="C142:D142"/>
    <mergeCell ref="C143:D143"/>
    <mergeCell ref="C144:D144"/>
    <mergeCell ref="J17:P17"/>
    <mergeCell ref="J136:P136"/>
    <mergeCell ref="E136:I136"/>
    <mergeCell ref="N89:Q89"/>
    <mergeCell ref="H89:K89"/>
    <mergeCell ref="H68:K68"/>
    <mergeCell ref="N68:Q68"/>
    <mergeCell ref="L45:M45"/>
    <mergeCell ref="N45:Q45"/>
    <mergeCell ref="L68:M68"/>
    <mergeCell ref="L89:M89"/>
  </mergeCells>
  <phoneticPr fontId="8" type="noConversion"/>
  <conditionalFormatting sqref="D47:D63">
    <cfRule type="expression" dxfId="14" priority="2" stopIfTrue="1">
      <formula>AND(B47&lt;&gt;"",D47="")</formula>
    </cfRule>
    <cfRule type="expression" dxfId="13" priority="3" stopIfTrue="1">
      <formula>AND(B47&lt;&gt;"",D47="")</formula>
    </cfRule>
  </conditionalFormatting>
  <conditionalFormatting sqref="D70:D84">
    <cfRule type="expression" dxfId="12" priority="4" stopIfTrue="1">
      <formula>AND(B70&lt;&gt;"",D70="")</formula>
    </cfRule>
  </conditionalFormatting>
  <dataValidations xWindow="851" yWindow="266" count="3">
    <dataValidation type="list" allowBlank="1" showInputMessage="1" showErrorMessage="1" sqref="B18:B40 B137:B146 B47:B63 B70:B84 B91:B107 B113:B129" xr:uid="{00000000-0002-0000-0500-000000000000}">
      <formula1>Fase</formula1>
    </dataValidation>
    <dataValidation type="list" allowBlank="1" showInputMessage="1" showErrorMessage="1" prompt="Geef aan of de aanvrager voor dit project BTW-plichtig of -vrijgesteld is; BTW-plichtig: voer de kosten op excl. BTW; BTW-vrijgesteld: voer de kosten op incl. BTW." sqref="E8" xr:uid="{00000000-0002-0000-0500-000001000000}">
      <formula1>BTW</formula1>
    </dataValidation>
    <dataValidation type="list" allowBlank="1" showInputMessage="1" showErrorMessage="1" sqref="E113:E129" xr:uid="{00000000-0002-0000-0500-000002000000}">
      <formula1>SrtWoning</formula1>
    </dataValidation>
  </dataValidations>
  <hyperlinks>
    <hyperlink ref="B8" location="'Uitleg Pilot'!Afdrukbereik" display="BTW (voor informatie, zie tabblad 'Uitleg Pilot')" xr:uid="{00000000-0004-0000-0500-000000000000}"/>
  </hyperlinks>
  <pageMargins left="0.23622047244094491" right="0.23622047244094491" top="0.74803149606299213" bottom="0.74803149606299213" header="0.31496062992125984" footer="0.31496062992125984"/>
  <pageSetup paperSize="8" fitToHeight="0" orientation="portrait" r:id="rId1"/>
  <headerFooter alignWithMargins="0">
    <oddFooter>&amp;R&amp;"Verdana,Standaard"pagina: &amp;P
aantal pagina's: &amp;N</oddFooter>
  </headerFooter>
  <colBreaks count="1" manualBreakCount="1">
    <brk id="1" max="1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6">
    <tabColor rgb="FFFFFF00"/>
  </sheetPr>
  <dimension ref="A1:U109"/>
  <sheetViews>
    <sheetView showGridLines="0" zoomScaleNormal="100" zoomScaleSheetLayoutView="100" workbookViewId="0">
      <selection activeCell="E16" sqref="E16"/>
    </sheetView>
  </sheetViews>
  <sheetFormatPr defaultColWidth="9.28515625" defaultRowHeight="11.25" x14ac:dyDescent="0.15"/>
  <cols>
    <col min="1" max="1" width="2.5703125" style="44" customWidth="1"/>
    <col min="2" max="2" width="33.28515625" style="44" customWidth="1"/>
    <col min="3" max="21" width="13.5703125" style="44" customWidth="1"/>
    <col min="22" max="26" width="9.28515625" style="44" customWidth="1"/>
    <col min="27" max="16384" width="9.28515625" style="44"/>
  </cols>
  <sheetData>
    <row r="1" spans="1:21" ht="20.25" x14ac:dyDescent="0.3">
      <c r="A1" s="43"/>
      <c r="B1" s="591" t="s">
        <v>30</v>
      </c>
      <c r="C1" s="592"/>
      <c r="D1" s="592"/>
      <c r="E1" s="592"/>
      <c r="F1" s="592"/>
      <c r="G1" s="592"/>
      <c r="H1" s="592"/>
      <c r="I1" s="592"/>
      <c r="J1" s="592"/>
      <c r="K1" s="592"/>
      <c r="L1" s="592"/>
      <c r="M1" s="593"/>
    </row>
    <row r="2" spans="1:21" ht="12.75" x14ac:dyDescent="0.2">
      <c r="A2" s="43"/>
      <c r="B2" s="445" t="s">
        <v>6</v>
      </c>
      <c r="C2" s="953" t="str">
        <f>Project!B4</f>
        <v>[Dit veld wordt door RVO ingevuld]</v>
      </c>
      <c r="D2" s="954"/>
      <c r="E2" s="954"/>
      <c r="F2" s="955"/>
      <c r="G2" s="594"/>
      <c r="H2" s="594"/>
      <c r="I2" s="594"/>
      <c r="J2" s="594"/>
      <c r="K2" s="594"/>
      <c r="L2" s="594"/>
      <c r="M2" s="595"/>
    </row>
    <row r="3" spans="1:21" ht="13.5" thickBot="1" x14ac:dyDescent="0.25">
      <c r="A3" s="43"/>
      <c r="B3" s="446" t="s">
        <v>2</v>
      </c>
      <c r="C3" s="956">
        <f>Project!B7</f>
        <v>0</v>
      </c>
      <c r="D3" s="957"/>
      <c r="E3" s="957"/>
      <c r="F3" s="958"/>
      <c r="G3" s="596"/>
      <c r="H3" s="596"/>
      <c r="I3" s="596"/>
      <c r="J3" s="596"/>
      <c r="K3" s="596"/>
      <c r="L3" s="596"/>
      <c r="M3" s="584"/>
    </row>
    <row r="4" spans="1:21" ht="12.75" customHeight="1" thickBot="1" x14ac:dyDescent="0.2"/>
    <row r="5" spans="1:21" ht="12.75" customHeight="1" thickBot="1" x14ac:dyDescent="0.2">
      <c r="A5" s="45"/>
      <c r="B5" s="560" t="s">
        <v>103</v>
      </c>
      <c r="C5" s="561"/>
      <c r="D5" s="561"/>
      <c r="E5" s="561"/>
      <c r="F5" s="561"/>
      <c r="G5" s="561"/>
      <c r="H5" s="561"/>
      <c r="I5" s="561"/>
      <c r="J5" s="561"/>
      <c r="K5" s="561"/>
      <c r="L5" s="561"/>
      <c r="M5" s="562"/>
    </row>
    <row r="6" spans="1:21" s="237" customFormat="1" ht="12.75" customHeight="1" x14ac:dyDescent="0.15">
      <c r="B6" s="725" t="s">
        <v>487</v>
      </c>
      <c r="C6" s="726"/>
      <c r="D6" s="726"/>
      <c r="E6" s="726"/>
      <c r="F6" s="726"/>
      <c r="G6" s="726"/>
      <c r="H6" s="726"/>
      <c r="I6" s="726"/>
      <c r="J6" s="726"/>
      <c r="K6" s="726"/>
      <c r="L6" s="726"/>
      <c r="M6" s="727"/>
    </row>
    <row r="7" spans="1:21" s="237" customFormat="1" ht="12.75" customHeight="1" x14ac:dyDescent="0.15">
      <c r="B7" s="728" t="s">
        <v>136</v>
      </c>
      <c r="C7" s="729"/>
      <c r="D7" s="729"/>
      <c r="E7" s="729"/>
      <c r="F7" s="729"/>
      <c r="G7" s="729"/>
      <c r="H7" s="729"/>
      <c r="I7" s="729"/>
      <c r="J7" s="729"/>
      <c r="K7" s="729"/>
      <c r="L7" s="729"/>
      <c r="M7" s="730"/>
    </row>
    <row r="8" spans="1:21" s="237" customFormat="1" ht="12.75" customHeight="1" x14ac:dyDescent="0.15">
      <c r="B8" s="728" t="s">
        <v>127</v>
      </c>
      <c r="C8" s="729"/>
      <c r="D8" s="729"/>
      <c r="E8" s="729"/>
      <c r="F8" s="729"/>
      <c r="G8" s="729"/>
      <c r="H8" s="729"/>
      <c r="I8" s="729"/>
      <c r="J8" s="729"/>
      <c r="K8" s="729"/>
      <c r="L8" s="729"/>
      <c r="M8" s="730"/>
    </row>
    <row r="9" spans="1:21" s="237" customFormat="1" ht="12.75" customHeight="1" x14ac:dyDescent="0.15">
      <c r="B9" s="728" t="s">
        <v>111</v>
      </c>
      <c r="C9" s="729"/>
      <c r="D9" s="729"/>
      <c r="E9" s="729"/>
      <c r="F9" s="729"/>
      <c r="G9" s="729"/>
      <c r="H9" s="729"/>
      <c r="I9" s="729"/>
      <c r="J9" s="729"/>
      <c r="K9" s="729"/>
      <c r="L9" s="729"/>
      <c r="M9" s="730"/>
    </row>
    <row r="10" spans="1:21" s="237" customFormat="1" ht="12.75" customHeight="1" x14ac:dyDescent="0.15">
      <c r="B10" s="728" t="s">
        <v>112</v>
      </c>
      <c r="C10" s="729"/>
      <c r="D10" s="729"/>
      <c r="E10" s="729"/>
      <c r="F10" s="729"/>
      <c r="G10" s="729"/>
      <c r="H10" s="729"/>
      <c r="I10" s="729"/>
      <c r="J10" s="729"/>
      <c r="K10" s="729"/>
      <c r="L10" s="729"/>
      <c r="M10" s="730"/>
    </row>
    <row r="11" spans="1:21" s="237" customFormat="1" ht="12.75" customHeight="1" thickBot="1" x14ac:dyDescent="0.2">
      <c r="B11" s="731" t="s">
        <v>593</v>
      </c>
      <c r="C11" s="732"/>
      <c r="D11" s="732"/>
      <c r="E11" s="732"/>
      <c r="F11" s="732"/>
      <c r="G11" s="732"/>
      <c r="H11" s="732"/>
      <c r="I11" s="732"/>
      <c r="J11" s="732"/>
      <c r="K11" s="732"/>
      <c r="L11" s="732"/>
      <c r="M11" s="733"/>
    </row>
    <row r="12" spans="1:21" s="441" customFormat="1" ht="12.75" customHeight="1" thickBot="1" x14ac:dyDescent="0.2">
      <c r="A12" s="437"/>
      <c r="C12" s="438"/>
      <c r="D12" s="438"/>
      <c r="E12" s="438"/>
      <c r="F12" s="438"/>
      <c r="G12" s="438"/>
      <c r="H12" s="438"/>
      <c r="I12" s="438"/>
      <c r="J12" s="438"/>
      <c r="K12" s="438"/>
      <c r="L12" s="438"/>
      <c r="M12" s="439"/>
      <c r="N12" s="440"/>
    </row>
    <row r="13" spans="1:21" s="441" customFormat="1" ht="12.75" customHeight="1" x14ac:dyDescent="0.15">
      <c r="A13" s="437"/>
      <c r="B13" s="725" t="s">
        <v>536</v>
      </c>
      <c r="C13" s="726"/>
      <c r="D13" s="726"/>
      <c r="E13" s="726"/>
      <c r="F13" s="726"/>
      <c r="G13" s="726"/>
      <c r="H13" s="726"/>
      <c r="I13" s="726"/>
      <c r="J13" s="726"/>
      <c r="K13" s="726"/>
      <c r="L13" s="726"/>
      <c r="M13" s="727"/>
      <c r="N13" s="440"/>
    </row>
    <row r="14" spans="1:21" s="441" customFormat="1" ht="12.75" customHeight="1" x14ac:dyDescent="0.15">
      <c r="A14" s="437"/>
      <c r="B14" s="728" t="s">
        <v>488</v>
      </c>
      <c r="C14" s="729"/>
      <c r="D14" s="729"/>
      <c r="E14" s="729"/>
      <c r="F14" s="729"/>
      <c r="G14" s="729"/>
      <c r="H14" s="729"/>
      <c r="I14" s="729"/>
      <c r="J14" s="729"/>
      <c r="K14" s="729"/>
      <c r="L14" s="729"/>
      <c r="M14" s="734"/>
      <c r="N14" s="440"/>
    </row>
    <row r="15" spans="1:21" s="441" customFormat="1" ht="12.75" customHeight="1" thickBot="1" x14ac:dyDescent="0.2">
      <c r="A15" s="437"/>
      <c r="B15" s="731" t="s">
        <v>594</v>
      </c>
      <c r="C15" s="732"/>
      <c r="D15" s="732"/>
      <c r="E15" s="732"/>
      <c r="F15" s="732"/>
      <c r="G15" s="732"/>
      <c r="H15" s="732"/>
      <c r="I15" s="732"/>
      <c r="J15" s="732"/>
      <c r="K15" s="732"/>
      <c r="L15" s="732"/>
      <c r="M15" s="738"/>
      <c r="N15" s="440"/>
    </row>
    <row r="16" spans="1:21" s="441" customFormat="1" ht="12.75" customHeight="1" x14ac:dyDescent="0.15">
      <c r="A16" s="437"/>
      <c r="B16" s="735" t="s">
        <v>535</v>
      </c>
      <c r="C16" s="736">
        <f>'ORT Berekening'!M5</f>
        <v>1900</v>
      </c>
      <c r="D16" s="736" t="str">
        <f>IF('ORT Berekening'!N5&lt;=YEAR(Einddatum),'ORT Berekening'!N5,IF(ISNUMBER(C16),"Totaal",""))</f>
        <v>Totaal</v>
      </c>
      <c r="E16" s="736" t="str">
        <f>IF('ORT Berekening'!O5&lt;=YEAR(Einddatum),'ORT Berekening'!O5,IF(ISNUMBER(D16),"Totaal",""))</f>
        <v/>
      </c>
      <c r="F16" s="736" t="str">
        <f>IF('ORT Berekening'!P5&lt;=YEAR(Einddatum),'ORT Berekening'!P5,IF(ISNUMBER(E16),"Totaal",""))</f>
        <v/>
      </c>
      <c r="G16" s="736" t="str">
        <f>IF('ORT Berekening'!Q5&lt;=YEAR(Einddatum),'ORT Berekening'!Q5,IF(ISNUMBER(F16),"Totaal",""))</f>
        <v/>
      </c>
      <c r="H16" s="736" t="str">
        <f>IF('ORT Berekening'!R5&lt;=YEAR(Einddatum),'ORT Berekening'!R5,IF(ISNUMBER(G16),"Totaal",""))</f>
        <v/>
      </c>
      <c r="I16" s="736" t="str">
        <f>IF('ORT Berekening'!S5&lt;=YEAR(Einddatum),'ORT Berekening'!S5,IF(ISNUMBER(H16),"Totaal",""))</f>
        <v/>
      </c>
      <c r="J16" s="736" t="str">
        <f>IF('ORT Berekening'!T5&lt;=YEAR(Einddatum),'ORT Berekening'!T5,IF(ISNUMBER(I16),"Totaal",""))</f>
        <v/>
      </c>
      <c r="K16" s="736" t="str">
        <f>IF('ORT Berekening'!U5&lt;=YEAR(Einddatum),'ORT Berekening'!U5,IF(ISNUMBER(J16),"Totaal",""))</f>
        <v/>
      </c>
      <c r="L16" s="736" t="str">
        <f>IF('ORT Berekening'!V5&lt;=YEAR(Einddatum),'ORT Berekening'!V5,IF(ISNUMBER(K16),"Totaal",""))</f>
        <v/>
      </c>
      <c r="M16" s="737" t="str">
        <f>IF('ORT Berekening'!W5&lt;=YEAR(Einddatum),'ORT Berekening'!W5,IF(ISNUMBER(L16),"Totaal",""))</f>
        <v/>
      </c>
      <c r="N16" s="438" t="str">
        <f>IF('ORT Berekening'!X5&lt;=YEAR(Einddatum),'ORT Berekening'!X5,IF(ISNUMBER(M16),"Totaal",""))</f>
        <v/>
      </c>
      <c r="O16" s="438" t="str">
        <f>IF('ORT Berekening'!Y5&lt;=YEAR(Einddatum),'ORT Berekening'!Y5,IF(ISNUMBER(N16),"Totaal",""))</f>
        <v/>
      </c>
      <c r="P16" s="438" t="str">
        <f>IF('ORT Berekening'!Z5&lt;=YEAR(Einddatum),'ORT Berekening'!Z5,IF(ISNUMBER(O16),"Totaal",""))</f>
        <v/>
      </c>
      <c r="Q16" s="438" t="str">
        <f>IF('ORT Berekening'!AA5&lt;=YEAR(Einddatum),'ORT Berekening'!AA5,IF(ISNUMBER(P16),"Totaal",""))</f>
        <v/>
      </c>
      <c r="R16" s="438" t="str">
        <f>IF('ORT Berekening'!AB5&lt;=YEAR(Einddatum),'ORT Berekening'!AB5,IF(ISNUMBER(Q16),"Totaal",""))</f>
        <v/>
      </c>
      <c r="S16" s="438" t="str">
        <f>IF('ORT Berekening'!AC5&lt;=YEAR(Einddatum),'ORT Berekening'!AC5,IF(ISNUMBER(R16),"Totaal",""))</f>
        <v/>
      </c>
      <c r="T16" s="438" t="str">
        <f>IF('ORT Berekening'!AD5&lt;=YEAR(Einddatum),'ORT Berekening'!AD5,IF(ISNUMBER(S16),"Totaal",""))</f>
        <v/>
      </c>
      <c r="U16" s="438" t="str">
        <f>IF('ORT Berekening'!AE5&lt;=YEAR(Einddatum),'ORT Berekening'!AE5,IF(ISNUMBER(T16),"Totaal",""))</f>
        <v/>
      </c>
    </row>
    <row r="17" spans="1:21" s="441" customFormat="1" ht="12.75" customHeight="1" x14ac:dyDescent="0.15">
      <c r="A17" s="437"/>
      <c r="B17" s="619"/>
      <c r="C17" s="436">
        <f>'ORT Berekening'!M44</f>
        <v>0</v>
      </c>
      <c r="D17" s="436" t="str">
        <f>IF('ORT Berekening'!N5&lt;=YEAR(Einddatum),'ORT Berekening'!N44,IF(ISNUMBER(C16),TEXT(SUM($C$17:C17),"0.00"),""))</f>
        <v>000</v>
      </c>
      <c r="E17" s="436" t="str">
        <f>IF('ORT Berekening'!O5&lt;=YEAR(Einddatum),'ORT Berekening'!O44,IF(ISNUMBER(D16),TEXT(SUM($C$17:D17),"0.00"),""))</f>
        <v/>
      </c>
      <c r="F17" s="436" t="str">
        <f>IF('ORT Berekening'!P5&lt;=YEAR(Einddatum),'ORT Berekening'!P44,IF(ISNUMBER(E16),TEXT(SUM($C$17:E17),"0.00"),""))</f>
        <v/>
      </c>
      <c r="G17" s="436" t="str">
        <f>IF('ORT Berekening'!Q5&lt;=YEAR(Einddatum),'ORT Berekening'!Q44,IF(ISNUMBER(F16),TEXT(SUM($C$17:F17),"0.00"),""))</f>
        <v/>
      </c>
      <c r="H17" s="436" t="str">
        <f>IF('ORT Berekening'!R5&lt;=YEAR(Einddatum),'ORT Berekening'!R44,IF(ISNUMBER(G16),TEXT(SUM($C$17:G17),"0.00"),""))</f>
        <v/>
      </c>
      <c r="I17" s="436" t="str">
        <f>IF('ORT Berekening'!S5&lt;=YEAR(Einddatum),'ORT Berekening'!S44,IF(ISNUMBER(H16),TEXT(SUM($C$17:H17),"0.00"),""))</f>
        <v/>
      </c>
      <c r="J17" s="436" t="str">
        <f>IF('ORT Berekening'!T5&lt;=YEAR(Einddatum),'ORT Berekening'!T44,IF(ISNUMBER(I16),TEXT(SUM($C$17:I17),"0.00"),""))</f>
        <v/>
      </c>
      <c r="K17" s="436" t="str">
        <f>IF('ORT Berekening'!U5&lt;=YEAR(Einddatum),'ORT Berekening'!U44,IF(ISNUMBER(J16),TEXT(SUM($C$17:J17),"0.00"),""))</f>
        <v/>
      </c>
      <c r="L17" s="436" t="str">
        <f>IF('ORT Berekening'!V5&lt;=YEAR(Einddatum),'ORT Berekening'!V44,IF(ISNUMBER(K16),TEXT(SUM($C$17:K17),"0.00"),""))</f>
        <v/>
      </c>
      <c r="M17" s="620" t="str">
        <f>IF('ORT Berekening'!W5&lt;=YEAR(Einddatum),'ORT Berekening'!W44,IF(ISNUMBER(L16),TEXT(SUM($C$17:L17),"0.00"),""))</f>
        <v/>
      </c>
      <c r="N17" s="624" t="str">
        <f>IF('ORT Berekening'!X5&lt;=YEAR(Einddatum),'ORT Berekening'!X44,IF(ISNUMBER(M16),TEXT(SUM($C$17:M17),"0.00"),""))</f>
        <v/>
      </c>
      <c r="O17" s="624" t="str">
        <f>IF('ORT Berekening'!Y5&lt;=YEAR(Einddatum),'ORT Berekening'!Y44,IF(ISNUMBER(N16),TEXT(SUM($C$17:N17),"0.00"),""))</f>
        <v/>
      </c>
      <c r="P17" s="624" t="str">
        <f>IF('ORT Berekening'!Z5&lt;=YEAR(Einddatum),'ORT Berekening'!Z44,IF(ISNUMBER(O16),TEXT(SUM($C$17:O17),"0.00"),""))</f>
        <v/>
      </c>
      <c r="Q17" s="624" t="str">
        <f>IF('ORT Berekening'!AA5&lt;=YEAR(Einddatum),'ORT Berekening'!AA44,IF(ISNUMBER(P16),TEXT(SUM($C$17:P17),"0.00"),""))</f>
        <v/>
      </c>
      <c r="R17" s="624" t="str">
        <f>IF('ORT Berekening'!AB5&lt;=YEAR(Einddatum),'ORT Berekening'!AB44,IF(ISNUMBER(Q16),TEXT(SUM($C$17:Q17),"0.00"),""))</f>
        <v/>
      </c>
      <c r="S17" s="624" t="str">
        <f>IF('ORT Berekening'!AC5&lt;=YEAR(Einddatum),'ORT Berekening'!AC44,IF(ISNUMBER(R16),TEXT(SUM($C$17:R17),"0.00"),""))</f>
        <v/>
      </c>
      <c r="T17" s="624" t="str">
        <f>IF('ORT Berekening'!AD5&lt;=YEAR(Einddatum),'ORT Berekening'!AD44,IF(ISNUMBER(S16),TEXT(SUM($C$17:S17),"0.00"),""))</f>
        <v/>
      </c>
      <c r="U17" s="624" t="str">
        <f>IF('ORT Berekening'!AE5&lt;=YEAR(Einddatum),'ORT Berekening'!AE44,IF(ISNUMBER(T16),TEXT(SUM($C$17:T17),"0.00"),""))</f>
        <v/>
      </c>
    </row>
    <row r="18" spans="1:21" s="441" customFormat="1" ht="12.75" customHeight="1" thickBot="1" x14ac:dyDescent="0.2">
      <c r="A18" s="437"/>
      <c r="B18" s="621"/>
      <c r="C18" s="622"/>
      <c r="D18" s="622"/>
      <c r="E18" s="622"/>
      <c r="F18" s="622"/>
      <c r="G18" s="622"/>
      <c r="H18" s="622"/>
      <c r="I18" s="622"/>
      <c r="J18" s="622"/>
      <c r="K18" s="622"/>
      <c r="L18" s="622"/>
      <c r="M18" s="623"/>
      <c r="N18" s="290"/>
      <c r="O18" s="439"/>
      <c r="P18" s="439"/>
      <c r="Q18" s="439"/>
      <c r="R18" s="439"/>
      <c r="S18" s="439"/>
      <c r="T18" s="439"/>
      <c r="U18" s="439"/>
    </row>
    <row r="19" spans="1:21" s="441" customFormat="1" ht="12.75" customHeight="1" x14ac:dyDescent="0.15">
      <c r="A19" s="437"/>
      <c r="B19" s="435"/>
      <c r="C19" s="438"/>
      <c r="D19" s="438"/>
      <c r="E19" s="438"/>
      <c r="F19" s="438"/>
      <c r="G19" s="438"/>
      <c r="H19" s="438"/>
      <c r="I19" s="438"/>
      <c r="J19" s="438"/>
      <c r="K19" s="438"/>
      <c r="L19" s="438"/>
      <c r="M19" s="439"/>
      <c r="N19" s="440"/>
    </row>
    <row r="20" spans="1:21" ht="12.75" customHeight="1" x14ac:dyDescent="0.15">
      <c r="A20" s="45"/>
      <c r="B20" s="46"/>
      <c r="C20" s="47"/>
      <c r="D20" s="47"/>
      <c r="E20" s="47"/>
      <c r="F20" s="47"/>
      <c r="G20" s="47"/>
      <c r="H20" s="47"/>
      <c r="I20" s="47"/>
      <c r="J20" s="47"/>
      <c r="K20" s="47"/>
      <c r="L20" s="47"/>
      <c r="M20" s="47"/>
    </row>
    <row r="21" spans="1:21" ht="22.5" x14ac:dyDescent="0.15">
      <c r="A21" s="45"/>
      <c r="B21" s="563" t="s">
        <v>39</v>
      </c>
      <c r="C21" s="564" t="s">
        <v>31</v>
      </c>
      <c r="D21" s="564" t="s">
        <v>32</v>
      </c>
      <c r="E21" s="564" t="s">
        <v>33</v>
      </c>
      <c r="F21" s="564" t="s">
        <v>34</v>
      </c>
      <c r="G21" s="564" t="s">
        <v>36</v>
      </c>
      <c r="H21" s="564" t="s">
        <v>61</v>
      </c>
      <c r="I21" s="564" t="s">
        <v>62</v>
      </c>
      <c r="J21" s="564" t="s">
        <v>63</v>
      </c>
      <c r="K21" s="564" t="s">
        <v>98</v>
      </c>
      <c r="L21" s="564" t="s">
        <v>99</v>
      </c>
      <c r="M21" s="565" t="s">
        <v>10</v>
      </c>
    </row>
    <row r="22" spans="1:21" x14ac:dyDescent="0.15">
      <c r="A22" s="45"/>
      <c r="B22" s="18">
        <f>Project!B16</f>
        <v>0</v>
      </c>
      <c r="C22" s="19">
        <f>SUMIFS(Begroting!$Q$18:$Q$146,Begroting!$B$18:$B$146,COUNTA($C$21:C21))</f>
        <v>0</v>
      </c>
      <c r="D22" s="19">
        <f>SUMIFS(Begroting!$Q$18:$Q$146,Begroting!$B$18:$B$146,COUNTA($C$21:D21))</f>
        <v>0</v>
      </c>
      <c r="E22" s="19">
        <f>SUMIFS(Begroting!$Q$18:$Q$146,Begroting!$B$18:$B$146,COUNTA($C$21:E21))</f>
        <v>0</v>
      </c>
      <c r="F22" s="19">
        <f>SUMIFS(Begroting!$Q$18:$Q$146,Begroting!$B$18:$B$146,COUNTA($C$21:F21))</f>
        <v>0</v>
      </c>
      <c r="G22" s="19">
        <f>SUMIFS(Begroting!$Q$18:$Q$146,Begroting!$B$18:$B$146,COUNTA($C$21:G21))</f>
        <v>0</v>
      </c>
      <c r="H22" s="19">
        <f>SUMIFS(Begroting!$Q$18:$Q$146,Begroting!$B$18:$B$146,COUNTA($C$21:H21))</f>
        <v>0</v>
      </c>
      <c r="I22" s="19">
        <f>SUMIFS(Begroting!$Q$18:$Q$146,Begroting!$B$18:$B$146,COUNTA($C$21:I21))</f>
        <v>0</v>
      </c>
      <c r="J22" s="19">
        <f>SUMIFS(Begroting!$Q$18:$Q$146,Begroting!$B$18:$B$146,COUNTA($C$21:J21))</f>
        <v>0</v>
      </c>
      <c r="K22" s="19">
        <f>SUMIFS(Begroting!$Q$18:$Q$146,Begroting!$B$18:$B$146,COUNTA($C$21:K21))</f>
        <v>0</v>
      </c>
      <c r="L22" s="19">
        <f>SUMIFS(Begroting!$Q$18:$Q$146,Begroting!$B$18:$B$146,COUNTA($C$21:L21))</f>
        <v>0</v>
      </c>
      <c r="M22" s="19">
        <f>SUM(C22:L22)</f>
        <v>0</v>
      </c>
      <c r="N22" s="298" t="str">
        <f>IF(SUM('ORT Berekening'!M44:AQ44)&lt;&gt;M22,"Let op. Controleer tabblad 'Begroting' op foutmeldingen","")</f>
        <v/>
      </c>
    </row>
    <row r="23" spans="1:21" x14ac:dyDescent="0.15">
      <c r="A23" s="45"/>
      <c r="B23" s="585"/>
      <c r="C23" s="586"/>
      <c r="D23" s="587"/>
      <c r="E23" s="587"/>
      <c r="F23" s="587"/>
      <c r="G23" s="588"/>
      <c r="H23" s="588"/>
      <c r="I23" s="588"/>
      <c r="J23" s="588"/>
      <c r="K23" s="588"/>
      <c r="L23" s="588"/>
      <c r="M23" s="566"/>
      <c r="N23" s="237"/>
      <c r="O23" s="237"/>
      <c r="P23" s="237"/>
      <c r="Q23" s="237"/>
      <c r="R23" s="237"/>
      <c r="S23" s="237"/>
      <c r="T23" s="237"/>
    </row>
    <row r="24" spans="1:21" x14ac:dyDescent="0.15">
      <c r="A24" s="45"/>
      <c r="B24" s="589" t="s">
        <v>38</v>
      </c>
      <c r="C24" s="480"/>
      <c r="D24" s="480"/>
      <c r="E24" s="480"/>
      <c r="F24" s="480"/>
      <c r="G24" s="480"/>
      <c r="H24" s="480"/>
      <c r="I24" s="480"/>
      <c r="J24" s="480"/>
      <c r="K24" s="480"/>
      <c r="L24" s="480"/>
      <c r="M24" s="567"/>
      <c r="N24" s="614"/>
      <c r="O24" s="237"/>
      <c r="P24" s="237"/>
      <c r="Q24" s="237"/>
      <c r="R24" s="237"/>
      <c r="S24" s="237"/>
      <c r="T24" s="237"/>
    </row>
    <row r="25" spans="1:21" x14ac:dyDescent="0.15">
      <c r="A25" s="45"/>
      <c r="B25" s="590" t="s">
        <v>29</v>
      </c>
      <c r="C25" s="480"/>
      <c r="D25" s="480"/>
      <c r="E25" s="480"/>
      <c r="F25" s="480"/>
      <c r="G25" s="480"/>
      <c r="H25" s="480"/>
      <c r="I25" s="480"/>
      <c r="J25" s="480"/>
      <c r="K25" s="480"/>
      <c r="L25" s="480"/>
      <c r="M25" s="568"/>
      <c r="N25" s="48"/>
    </row>
    <row r="26" spans="1:21" x14ac:dyDescent="0.15">
      <c r="A26" s="45"/>
      <c r="B26" s="49"/>
      <c r="C26" s="45"/>
      <c r="D26" s="50"/>
      <c r="E26" s="45"/>
      <c r="F26" s="45"/>
      <c r="G26" s="45"/>
      <c r="H26" s="45"/>
      <c r="I26" s="45"/>
      <c r="J26" s="45"/>
      <c r="K26" s="45"/>
      <c r="L26" s="45"/>
      <c r="M26" s="45"/>
    </row>
    <row r="27" spans="1:21" x14ac:dyDescent="0.15">
      <c r="A27" s="45"/>
      <c r="B27" s="51" t="s">
        <v>59</v>
      </c>
      <c r="C27" s="52"/>
      <c r="D27" s="53"/>
      <c r="E27" s="54"/>
      <c r="F27" s="52"/>
      <c r="G27" s="52"/>
      <c r="H27" s="52"/>
      <c r="I27" s="52"/>
      <c r="J27" s="52"/>
      <c r="K27" s="52"/>
      <c r="L27" s="52"/>
      <c r="M27" s="55"/>
    </row>
    <row r="28" spans="1:21" x14ac:dyDescent="0.15">
      <c r="A28" s="45"/>
      <c r="B28" s="56" t="s">
        <v>60</v>
      </c>
    </row>
    <row r="29" spans="1:21" ht="12" thickBot="1" x14ac:dyDescent="0.2">
      <c r="A29" s="45"/>
      <c r="C29" s="959"/>
      <c r="D29" s="959"/>
      <c r="E29" s="959"/>
      <c r="F29" s="959"/>
      <c r="G29" s="959"/>
      <c r="H29" s="959"/>
      <c r="I29" s="959"/>
      <c r="J29" s="959"/>
      <c r="K29" s="959"/>
      <c r="L29" s="959"/>
      <c r="M29" s="959"/>
    </row>
    <row r="30" spans="1:21" ht="13.5" thickBot="1" x14ac:dyDescent="0.25">
      <c r="A30" s="45"/>
      <c r="B30" s="481" t="s">
        <v>71</v>
      </c>
      <c r="C30" s="950" t="s">
        <v>128</v>
      </c>
      <c r="D30" s="951"/>
      <c r="E30" s="951"/>
      <c r="F30" s="951"/>
      <c r="G30" s="951"/>
      <c r="H30" s="951"/>
      <c r="I30" s="951"/>
      <c r="J30" s="951"/>
      <c r="K30" s="951"/>
      <c r="L30" s="951"/>
      <c r="M30" s="952"/>
    </row>
    <row r="31" spans="1:21" ht="11.25" customHeight="1" x14ac:dyDescent="0.15">
      <c r="A31" s="45"/>
      <c r="B31" s="482"/>
      <c r="C31" s="483"/>
      <c r="D31" s="483"/>
      <c r="E31" s="483"/>
      <c r="F31" s="483"/>
      <c r="G31" s="483"/>
      <c r="H31" s="483"/>
      <c r="I31" s="483"/>
      <c r="J31" s="483"/>
      <c r="K31" s="483"/>
      <c r="L31" s="483"/>
      <c r="M31" s="484"/>
    </row>
    <row r="32" spans="1:21" ht="11.25" customHeight="1" x14ac:dyDescent="0.15">
      <c r="A32" s="45"/>
      <c r="B32" s="485"/>
      <c r="C32" s="486"/>
      <c r="D32" s="486"/>
      <c r="E32" s="486"/>
      <c r="F32" s="486"/>
      <c r="G32" s="486"/>
      <c r="H32" s="486"/>
      <c r="I32" s="486"/>
      <c r="J32" s="486"/>
      <c r="K32" s="486"/>
      <c r="L32" s="486"/>
      <c r="M32" s="487"/>
      <c r="O32" s="227"/>
      <c r="P32" s="227"/>
      <c r="Q32" s="227"/>
      <c r="R32" s="227"/>
      <c r="S32" s="227"/>
    </row>
    <row r="33" spans="1:19" ht="11.25" customHeight="1" x14ac:dyDescent="0.15">
      <c r="A33" s="45"/>
      <c r="B33" s="485"/>
      <c r="C33" s="486"/>
      <c r="D33" s="486"/>
      <c r="E33" s="486"/>
      <c r="F33" s="486"/>
      <c r="G33" s="486"/>
      <c r="H33" s="486"/>
      <c r="I33" s="486"/>
      <c r="J33" s="486"/>
      <c r="K33" s="486"/>
      <c r="L33" s="486"/>
      <c r="M33" s="487"/>
      <c r="O33" s="227"/>
      <c r="P33" s="227"/>
      <c r="Q33" s="227"/>
      <c r="R33" s="227"/>
      <c r="S33" s="227"/>
    </row>
    <row r="34" spans="1:19" ht="12" customHeight="1" thickBot="1" x14ac:dyDescent="0.2">
      <c r="A34" s="45"/>
      <c r="B34" s="488"/>
      <c r="C34" s="489"/>
      <c r="D34" s="489"/>
      <c r="E34" s="489"/>
      <c r="F34" s="489"/>
      <c r="G34" s="489"/>
      <c r="H34" s="489"/>
      <c r="I34" s="489"/>
      <c r="J34" s="489"/>
      <c r="K34" s="489"/>
      <c r="L34" s="489"/>
      <c r="M34" s="490"/>
      <c r="O34" s="228"/>
      <c r="P34" s="229"/>
      <c r="Q34" s="227"/>
      <c r="R34" s="227"/>
      <c r="S34" s="227"/>
    </row>
    <row r="35" spans="1:19" ht="12" thickBot="1" x14ac:dyDescent="0.2">
      <c r="O35" s="227"/>
      <c r="P35" s="227"/>
      <c r="Q35" s="227"/>
      <c r="R35" s="227"/>
      <c r="S35" s="227"/>
    </row>
    <row r="36" spans="1:19" ht="13.5" customHeight="1" thickBot="1" x14ac:dyDescent="0.25">
      <c r="A36" s="45"/>
      <c r="B36" s="481" t="s">
        <v>72</v>
      </c>
      <c r="C36" s="950" t="s">
        <v>129</v>
      </c>
      <c r="D36" s="951"/>
      <c r="E36" s="951"/>
      <c r="F36" s="951"/>
      <c r="G36" s="951"/>
      <c r="H36" s="951"/>
      <c r="I36" s="951"/>
      <c r="J36" s="951"/>
      <c r="K36" s="951"/>
      <c r="L36" s="951"/>
      <c r="M36" s="952"/>
      <c r="O36" s="227"/>
      <c r="P36" s="227"/>
      <c r="Q36" s="227"/>
      <c r="R36" s="227"/>
      <c r="S36" s="227"/>
    </row>
    <row r="37" spans="1:19" ht="11.25" customHeight="1" x14ac:dyDescent="0.15">
      <c r="A37" s="45"/>
      <c r="B37" s="482"/>
      <c r="C37" s="483"/>
      <c r="D37" s="483"/>
      <c r="E37" s="483"/>
      <c r="F37" s="483"/>
      <c r="G37" s="483"/>
      <c r="H37" s="483"/>
      <c r="I37" s="483"/>
      <c r="J37" s="483"/>
      <c r="K37" s="483"/>
      <c r="L37" s="483"/>
      <c r="M37" s="484"/>
      <c r="O37" s="227"/>
      <c r="P37" s="227"/>
      <c r="Q37" s="227"/>
      <c r="R37" s="227"/>
      <c r="S37" s="227"/>
    </row>
    <row r="38" spans="1:19" ht="11.25" customHeight="1" x14ac:dyDescent="0.15">
      <c r="A38" s="45"/>
      <c r="B38" s="485"/>
      <c r="C38" s="486"/>
      <c r="D38" s="486"/>
      <c r="E38" s="486"/>
      <c r="F38" s="486"/>
      <c r="G38" s="486"/>
      <c r="H38" s="486"/>
      <c r="I38" s="486"/>
      <c r="J38" s="486"/>
      <c r="K38" s="486"/>
      <c r="L38" s="486"/>
      <c r="M38" s="487"/>
    </row>
    <row r="39" spans="1:19" ht="11.25" customHeight="1" x14ac:dyDescent="0.15">
      <c r="A39" s="45"/>
      <c r="B39" s="485"/>
      <c r="C39" s="486"/>
      <c r="D39" s="486"/>
      <c r="E39" s="486"/>
      <c r="F39" s="486"/>
      <c r="G39" s="486"/>
      <c r="H39" s="486"/>
      <c r="I39" s="486"/>
      <c r="J39" s="486"/>
      <c r="K39" s="486"/>
      <c r="L39" s="486"/>
      <c r="M39" s="487"/>
    </row>
    <row r="40" spans="1:19" ht="12" customHeight="1" thickBot="1" x14ac:dyDescent="0.2">
      <c r="A40" s="45"/>
      <c r="B40" s="488"/>
      <c r="C40" s="489"/>
      <c r="D40" s="489"/>
      <c r="E40" s="489"/>
      <c r="F40" s="489"/>
      <c r="G40" s="489"/>
      <c r="H40" s="489"/>
      <c r="I40" s="489"/>
      <c r="J40" s="489"/>
      <c r="K40" s="489"/>
      <c r="L40" s="489"/>
      <c r="M40" s="490"/>
    </row>
    <row r="41" spans="1:19" ht="12" thickBot="1" x14ac:dyDescent="0.2"/>
    <row r="42" spans="1:19" ht="14.1" customHeight="1" thickBot="1" x14ac:dyDescent="0.25">
      <c r="A42" s="45"/>
      <c r="B42" s="481" t="s">
        <v>73</v>
      </c>
      <c r="C42" s="950" t="s">
        <v>113</v>
      </c>
      <c r="D42" s="951"/>
      <c r="E42" s="951"/>
      <c r="F42" s="951"/>
      <c r="G42" s="951"/>
      <c r="H42" s="951"/>
      <c r="I42" s="951"/>
      <c r="J42" s="951"/>
      <c r="K42" s="951"/>
      <c r="L42" s="951"/>
      <c r="M42" s="952"/>
    </row>
    <row r="43" spans="1:19" ht="11.25" customHeight="1" x14ac:dyDescent="0.15">
      <c r="A43" s="45"/>
      <c r="B43" s="482"/>
      <c r="C43" s="483"/>
      <c r="D43" s="483"/>
      <c r="E43" s="483"/>
      <c r="F43" s="483"/>
      <c r="G43" s="483"/>
      <c r="H43" s="483"/>
      <c r="I43" s="483"/>
      <c r="J43" s="483"/>
      <c r="K43" s="483"/>
      <c r="L43" s="483"/>
      <c r="M43" s="484"/>
    </row>
    <row r="44" spans="1:19" ht="11.25" customHeight="1" x14ac:dyDescent="0.15">
      <c r="A44" s="45"/>
      <c r="B44" s="485"/>
      <c r="C44" s="486"/>
      <c r="D44" s="486"/>
      <c r="E44" s="486"/>
      <c r="F44" s="486"/>
      <c r="G44" s="486"/>
      <c r="H44" s="486"/>
      <c r="I44" s="486"/>
      <c r="J44" s="486"/>
      <c r="K44" s="486"/>
      <c r="L44" s="486"/>
      <c r="M44" s="487"/>
    </row>
    <row r="45" spans="1:19" ht="11.25" customHeight="1" x14ac:dyDescent="0.15">
      <c r="A45" s="45"/>
      <c r="B45" s="485"/>
      <c r="C45" s="486"/>
      <c r="D45" s="486"/>
      <c r="E45" s="486"/>
      <c r="F45" s="486"/>
      <c r="G45" s="486"/>
      <c r="H45" s="486"/>
      <c r="I45" s="486"/>
      <c r="J45" s="486"/>
      <c r="K45" s="486"/>
      <c r="L45" s="486"/>
      <c r="M45" s="487"/>
    </row>
    <row r="46" spans="1:19" ht="12" customHeight="1" thickBot="1" x14ac:dyDescent="0.2">
      <c r="A46" s="45"/>
      <c r="B46" s="488"/>
      <c r="C46" s="489"/>
      <c r="D46" s="489"/>
      <c r="E46" s="489"/>
      <c r="F46" s="489"/>
      <c r="G46" s="489"/>
      <c r="H46" s="489"/>
      <c r="I46" s="489"/>
      <c r="J46" s="489"/>
      <c r="K46" s="489"/>
      <c r="L46" s="489"/>
      <c r="M46" s="490"/>
    </row>
    <row r="47" spans="1:19" ht="13.5" thickBot="1" x14ac:dyDescent="0.2">
      <c r="A47" s="45"/>
      <c r="B47" s="192"/>
      <c r="C47" s="192"/>
      <c r="D47" s="192"/>
      <c r="E47" s="192"/>
      <c r="F47" s="192"/>
      <c r="G47" s="192"/>
      <c r="H47" s="192"/>
      <c r="I47" s="192"/>
      <c r="J47" s="192"/>
      <c r="K47" s="192"/>
      <c r="L47" s="192"/>
      <c r="M47" s="192"/>
    </row>
    <row r="48" spans="1:19" ht="13.5" thickBot="1" x14ac:dyDescent="0.25">
      <c r="A48" s="45"/>
      <c r="B48" s="481" t="s">
        <v>74</v>
      </c>
      <c r="C48" s="950" t="s">
        <v>113</v>
      </c>
      <c r="D48" s="951"/>
      <c r="E48" s="951"/>
      <c r="F48" s="951"/>
      <c r="G48" s="951"/>
      <c r="H48" s="951"/>
      <c r="I48" s="951"/>
      <c r="J48" s="951"/>
      <c r="K48" s="951"/>
      <c r="L48" s="951"/>
      <c r="M48" s="952"/>
    </row>
    <row r="49" spans="1:13" ht="11.25" customHeight="1" x14ac:dyDescent="0.15">
      <c r="A49" s="45"/>
      <c r="B49" s="482"/>
      <c r="C49" s="483"/>
      <c r="D49" s="483"/>
      <c r="E49" s="483"/>
      <c r="F49" s="483"/>
      <c r="G49" s="483"/>
      <c r="H49" s="483"/>
      <c r="I49" s="483"/>
      <c r="J49" s="483"/>
      <c r="K49" s="483"/>
      <c r="L49" s="483"/>
      <c r="M49" s="484"/>
    </row>
    <row r="50" spans="1:13" ht="11.25" customHeight="1" x14ac:dyDescent="0.15">
      <c r="A50" s="45"/>
      <c r="B50" s="485"/>
      <c r="C50" s="486"/>
      <c r="D50" s="486"/>
      <c r="E50" s="486"/>
      <c r="F50" s="486"/>
      <c r="G50" s="486"/>
      <c r="H50" s="486"/>
      <c r="I50" s="486"/>
      <c r="J50" s="486"/>
      <c r="K50" s="486"/>
      <c r="L50" s="486"/>
      <c r="M50" s="487"/>
    </row>
    <row r="51" spans="1:13" ht="11.25" customHeight="1" x14ac:dyDescent="0.15">
      <c r="A51" s="45"/>
      <c r="B51" s="485"/>
      <c r="C51" s="486"/>
      <c r="D51" s="486"/>
      <c r="E51" s="486"/>
      <c r="F51" s="486"/>
      <c r="G51" s="486"/>
      <c r="H51" s="486"/>
      <c r="I51" s="486"/>
      <c r="J51" s="486"/>
      <c r="K51" s="486"/>
      <c r="L51" s="486"/>
      <c r="M51" s="487"/>
    </row>
    <row r="52" spans="1:13" ht="12" customHeight="1" thickBot="1" x14ac:dyDescent="0.2">
      <c r="A52" s="45"/>
      <c r="B52" s="488"/>
      <c r="C52" s="489"/>
      <c r="D52" s="489"/>
      <c r="E52" s="489"/>
      <c r="F52" s="489"/>
      <c r="G52" s="489"/>
      <c r="H52" s="489"/>
      <c r="I52" s="489"/>
      <c r="J52" s="489"/>
      <c r="K52" s="489"/>
      <c r="L52" s="489"/>
      <c r="M52" s="490"/>
    </row>
    <row r="53" spans="1:13" ht="13.5" thickBot="1" x14ac:dyDescent="0.2">
      <c r="A53" s="45"/>
      <c r="B53" s="192"/>
      <c r="C53" s="192"/>
      <c r="D53" s="192"/>
      <c r="E53" s="192"/>
      <c r="F53" s="192"/>
      <c r="G53" s="192"/>
      <c r="H53" s="192"/>
      <c r="I53" s="192"/>
      <c r="J53" s="192"/>
      <c r="K53" s="192"/>
      <c r="L53" s="192"/>
      <c r="M53" s="192"/>
    </row>
    <row r="54" spans="1:13" ht="13.5" thickBot="1" x14ac:dyDescent="0.25">
      <c r="A54" s="45"/>
      <c r="B54" s="481" t="s">
        <v>75</v>
      </c>
      <c r="C54" s="950" t="s">
        <v>114</v>
      </c>
      <c r="D54" s="951"/>
      <c r="E54" s="951"/>
      <c r="F54" s="951"/>
      <c r="G54" s="951"/>
      <c r="H54" s="951"/>
      <c r="I54" s="951"/>
      <c r="J54" s="951"/>
      <c r="K54" s="951"/>
      <c r="L54" s="951"/>
      <c r="M54" s="952"/>
    </row>
    <row r="55" spans="1:13" ht="11.25" customHeight="1" x14ac:dyDescent="0.15">
      <c r="A55" s="45"/>
      <c r="B55" s="491"/>
      <c r="C55" s="492"/>
      <c r="D55" s="492"/>
      <c r="E55" s="492"/>
      <c r="F55" s="492"/>
      <c r="G55" s="492"/>
      <c r="H55" s="492"/>
      <c r="I55" s="492"/>
      <c r="J55" s="492"/>
      <c r="K55" s="492"/>
      <c r="L55" s="492"/>
      <c r="M55" s="493"/>
    </row>
    <row r="56" spans="1:13" ht="11.25" customHeight="1" x14ac:dyDescent="0.15">
      <c r="A56" s="45"/>
      <c r="B56" s="494"/>
      <c r="C56" s="495"/>
      <c r="D56" s="495"/>
      <c r="E56" s="495"/>
      <c r="F56" s="495"/>
      <c r="G56" s="495"/>
      <c r="H56" s="495"/>
      <c r="I56" s="495"/>
      <c r="J56" s="495"/>
      <c r="K56" s="495"/>
      <c r="L56" s="495"/>
      <c r="M56" s="496"/>
    </row>
    <row r="57" spans="1:13" ht="11.25" customHeight="1" x14ac:dyDescent="0.15">
      <c r="A57" s="45"/>
      <c r="B57" s="494"/>
      <c r="C57" s="495"/>
      <c r="D57" s="495"/>
      <c r="E57" s="495"/>
      <c r="F57" s="495"/>
      <c r="G57" s="495"/>
      <c r="H57" s="495"/>
      <c r="I57" s="495"/>
      <c r="J57" s="495"/>
      <c r="K57" s="495"/>
      <c r="L57" s="495"/>
      <c r="M57" s="496"/>
    </row>
    <row r="58" spans="1:13" ht="12" customHeight="1" thickBot="1" x14ac:dyDescent="0.2">
      <c r="A58" s="45"/>
      <c r="B58" s="497"/>
      <c r="C58" s="498"/>
      <c r="D58" s="498"/>
      <c r="E58" s="498"/>
      <c r="F58" s="498"/>
      <c r="G58" s="498"/>
      <c r="H58" s="498"/>
      <c r="I58" s="498"/>
      <c r="J58" s="498"/>
      <c r="K58" s="498"/>
      <c r="L58" s="498"/>
      <c r="M58" s="499"/>
    </row>
    <row r="59" spans="1:13" ht="13.5" thickBot="1" x14ac:dyDescent="0.2">
      <c r="A59" s="45"/>
      <c r="B59" s="192"/>
      <c r="C59" s="192"/>
      <c r="D59" s="192"/>
      <c r="E59" s="192"/>
      <c r="F59" s="192"/>
      <c r="G59" s="192"/>
      <c r="H59" s="192"/>
      <c r="I59" s="192"/>
      <c r="J59" s="192"/>
      <c r="K59" s="192"/>
      <c r="L59" s="192"/>
      <c r="M59" s="192"/>
    </row>
    <row r="60" spans="1:13" ht="13.5" thickBot="1" x14ac:dyDescent="0.25">
      <c r="A60" s="45"/>
      <c r="B60" s="481" t="s">
        <v>76</v>
      </c>
      <c r="C60" s="950" t="s">
        <v>113</v>
      </c>
      <c r="D60" s="951"/>
      <c r="E60" s="951"/>
      <c r="F60" s="951"/>
      <c r="G60" s="951"/>
      <c r="H60" s="951"/>
      <c r="I60" s="951"/>
      <c r="J60" s="951"/>
      <c r="K60" s="951"/>
      <c r="L60" s="951"/>
      <c r="M60" s="952"/>
    </row>
    <row r="61" spans="1:13" ht="11.25" customHeight="1" x14ac:dyDescent="0.15">
      <c r="A61" s="45"/>
      <c r="B61" s="482"/>
      <c r="C61" s="483"/>
      <c r="D61" s="483"/>
      <c r="E61" s="483"/>
      <c r="F61" s="483"/>
      <c r="G61" s="483"/>
      <c r="H61" s="483"/>
      <c r="I61" s="483"/>
      <c r="J61" s="483"/>
      <c r="K61" s="483"/>
      <c r="L61" s="483"/>
      <c r="M61" s="484"/>
    </row>
    <row r="62" spans="1:13" ht="11.25" customHeight="1" x14ac:dyDescent="0.15">
      <c r="A62" s="45"/>
      <c r="B62" s="485"/>
      <c r="C62" s="486"/>
      <c r="D62" s="486"/>
      <c r="E62" s="486"/>
      <c r="F62" s="486"/>
      <c r="G62" s="486"/>
      <c r="H62" s="486"/>
      <c r="I62" s="486"/>
      <c r="J62" s="486"/>
      <c r="K62" s="486"/>
      <c r="L62" s="486"/>
      <c r="M62" s="487"/>
    </row>
    <row r="63" spans="1:13" ht="11.25" customHeight="1" x14ac:dyDescent="0.15">
      <c r="A63" s="45"/>
      <c r="B63" s="485"/>
      <c r="C63" s="486"/>
      <c r="D63" s="486"/>
      <c r="E63" s="486"/>
      <c r="F63" s="486"/>
      <c r="G63" s="486"/>
      <c r="H63" s="486"/>
      <c r="I63" s="486"/>
      <c r="J63" s="486"/>
      <c r="K63" s="486"/>
      <c r="L63" s="486"/>
      <c r="M63" s="487"/>
    </row>
    <row r="64" spans="1:13" ht="12" customHeight="1" thickBot="1" x14ac:dyDescent="0.2">
      <c r="A64" s="45"/>
      <c r="B64" s="488"/>
      <c r="C64" s="489"/>
      <c r="D64" s="489"/>
      <c r="E64" s="489"/>
      <c r="F64" s="489"/>
      <c r="G64" s="489"/>
      <c r="H64" s="489"/>
      <c r="I64" s="489"/>
      <c r="J64" s="489"/>
      <c r="K64" s="489"/>
      <c r="L64" s="489"/>
      <c r="M64" s="490"/>
    </row>
    <row r="65" spans="1:13" ht="13.5" thickBot="1" x14ac:dyDescent="0.2">
      <c r="A65" s="45"/>
      <c r="B65" s="192"/>
      <c r="C65" s="192"/>
      <c r="D65" s="192"/>
      <c r="E65" s="192"/>
      <c r="F65" s="192"/>
      <c r="G65" s="192"/>
      <c r="H65" s="192"/>
      <c r="I65" s="192"/>
      <c r="J65" s="192"/>
      <c r="K65" s="192"/>
      <c r="L65" s="192"/>
      <c r="M65" s="192"/>
    </row>
    <row r="66" spans="1:13" ht="13.5" thickBot="1" x14ac:dyDescent="0.25">
      <c r="A66" s="45"/>
      <c r="B66" s="481" t="s">
        <v>77</v>
      </c>
      <c r="C66" s="950" t="s">
        <v>114</v>
      </c>
      <c r="D66" s="951"/>
      <c r="E66" s="951"/>
      <c r="F66" s="951"/>
      <c r="G66" s="951"/>
      <c r="H66" s="951"/>
      <c r="I66" s="951"/>
      <c r="J66" s="951"/>
      <c r="K66" s="951"/>
      <c r="L66" s="951"/>
      <c r="M66" s="952"/>
    </row>
    <row r="67" spans="1:13" ht="11.25" customHeight="1" x14ac:dyDescent="0.15">
      <c r="A67" s="45"/>
      <c r="B67" s="482"/>
      <c r="C67" s="483"/>
      <c r="D67" s="483"/>
      <c r="E67" s="483"/>
      <c r="F67" s="483"/>
      <c r="G67" s="483"/>
      <c r="H67" s="483"/>
      <c r="I67" s="483"/>
      <c r="J67" s="483"/>
      <c r="K67" s="483"/>
      <c r="L67" s="483"/>
      <c r="M67" s="484"/>
    </row>
    <row r="68" spans="1:13" ht="11.25" customHeight="1" x14ac:dyDescent="0.15">
      <c r="A68" s="45"/>
      <c r="B68" s="485"/>
      <c r="C68" s="486"/>
      <c r="D68" s="486"/>
      <c r="E68" s="486"/>
      <c r="F68" s="486"/>
      <c r="G68" s="486"/>
      <c r="H68" s="486"/>
      <c r="I68" s="486"/>
      <c r="J68" s="486"/>
      <c r="K68" s="486"/>
      <c r="L68" s="486"/>
      <c r="M68" s="487"/>
    </row>
    <row r="69" spans="1:13" ht="11.25" customHeight="1" x14ac:dyDescent="0.15">
      <c r="A69" s="45"/>
      <c r="B69" s="485"/>
      <c r="C69" s="486"/>
      <c r="D69" s="486"/>
      <c r="E69" s="486"/>
      <c r="F69" s="486"/>
      <c r="G69" s="486"/>
      <c r="H69" s="486"/>
      <c r="I69" s="486"/>
      <c r="J69" s="486"/>
      <c r="K69" s="486"/>
      <c r="L69" s="486"/>
      <c r="M69" s="487"/>
    </row>
    <row r="70" spans="1:13" ht="12" customHeight="1" thickBot="1" x14ac:dyDescent="0.2">
      <c r="A70" s="45"/>
      <c r="B70" s="488"/>
      <c r="C70" s="489"/>
      <c r="D70" s="489"/>
      <c r="E70" s="489"/>
      <c r="F70" s="489"/>
      <c r="G70" s="489"/>
      <c r="H70" s="489"/>
      <c r="I70" s="489"/>
      <c r="J70" s="489"/>
      <c r="K70" s="489"/>
      <c r="L70" s="489"/>
      <c r="M70" s="490"/>
    </row>
    <row r="71" spans="1:13" ht="13.5" thickBot="1" x14ac:dyDescent="0.2">
      <c r="A71" s="45"/>
      <c r="B71" s="192"/>
      <c r="C71" s="192"/>
      <c r="D71" s="192"/>
      <c r="E71" s="192"/>
      <c r="F71" s="192"/>
      <c r="G71" s="192"/>
      <c r="H71" s="192"/>
      <c r="I71" s="192"/>
      <c r="J71" s="192"/>
      <c r="K71" s="192"/>
      <c r="L71" s="192"/>
      <c r="M71" s="192"/>
    </row>
    <row r="72" spans="1:13" ht="13.5" thickBot="1" x14ac:dyDescent="0.25">
      <c r="A72" s="45"/>
      <c r="B72" s="481" t="s">
        <v>78</v>
      </c>
      <c r="C72" s="950" t="s">
        <v>114</v>
      </c>
      <c r="D72" s="951"/>
      <c r="E72" s="951"/>
      <c r="F72" s="951"/>
      <c r="G72" s="951"/>
      <c r="H72" s="951"/>
      <c r="I72" s="951"/>
      <c r="J72" s="951"/>
      <c r="K72" s="951"/>
      <c r="L72" s="951"/>
      <c r="M72" s="952"/>
    </row>
    <row r="73" spans="1:13" ht="11.25" customHeight="1" x14ac:dyDescent="0.15">
      <c r="A73" s="45"/>
      <c r="B73" s="482"/>
      <c r="C73" s="483"/>
      <c r="D73" s="483"/>
      <c r="E73" s="483"/>
      <c r="F73" s="483"/>
      <c r="G73" s="483"/>
      <c r="H73" s="483"/>
      <c r="I73" s="483"/>
      <c r="J73" s="483"/>
      <c r="K73" s="483"/>
      <c r="L73" s="483"/>
      <c r="M73" s="484"/>
    </row>
    <row r="74" spans="1:13" ht="11.25" customHeight="1" x14ac:dyDescent="0.15">
      <c r="A74" s="45"/>
      <c r="B74" s="485"/>
      <c r="C74" s="486"/>
      <c r="D74" s="486"/>
      <c r="E74" s="486"/>
      <c r="F74" s="486"/>
      <c r="G74" s="486"/>
      <c r="H74" s="486"/>
      <c r="I74" s="486"/>
      <c r="J74" s="486"/>
      <c r="K74" s="486"/>
      <c r="L74" s="486"/>
      <c r="M74" s="487"/>
    </row>
    <row r="75" spans="1:13" ht="11.25" customHeight="1" x14ac:dyDescent="0.15">
      <c r="A75" s="45"/>
      <c r="B75" s="485"/>
      <c r="C75" s="486"/>
      <c r="D75" s="486"/>
      <c r="E75" s="486"/>
      <c r="F75" s="486"/>
      <c r="G75" s="486"/>
      <c r="H75" s="486"/>
      <c r="I75" s="486"/>
      <c r="J75" s="486"/>
      <c r="K75" s="486"/>
      <c r="L75" s="486"/>
      <c r="M75" s="487"/>
    </row>
    <row r="76" spans="1:13" ht="12" customHeight="1" thickBot="1" x14ac:dyDescent="0.2">
      <c r="A76" s="45"/>
      <c r="B76" s="488"/>
      <c r="C76" s="489"/>
      <c r="D76" s="489"/>
      <c r="E76" s="489"/>
      <c r="F76" s="489"/>
      <c r="G76" s="489"/>
      <c r="H76" s="489"/>
      <c r="I76" s="489"/>
      <c r="J76" s="489"/>
      <c r="K76" s="489"/>
      <c r="L76" s="489"/>
      <c r="M76" s="490"/>
    </row>
    <row r="77" spans="1:13" ht="13.5" thickBot="1" x14ac:dyDescent="0.2">
      <c r="A77" s="45"/>
      <c r="B77" s="192"/>
      <c r="C77" s="192"/>
      <c r="D77" s="192"/>
      <c r="E77" s="192"/>
      <c r="F77" s="192"/>
      <c r="G77" s="192"/>
      <c r="H77" s="192"/>
      <c r="I77" s="192"/>
      <c r="J77" s="192"/>
      <c r="K77" s="192"/>
      <c r="L77" s="192"/>
      <c r="M77" s="192"/>
    </row>
    <row r="78" spans="1:13" ht="13.5" thickBot="1" x14ac:dyDescent="0.25">
      <c r="A78" s="45"/>
      <c r="B78" s="481" t="s">
        <v>121</v>
      </c>
      <c r="C78" s="950" t="s">
        <v>114</v>
      </c>
      <c r="D78" s="951"/>
      <c r="E78" s="951"/>
      <c r="F78" s="951"/>
      <c r="G78" s="951"/>
      <c r="H78" s="951"/>
      <c r="I78" s="951"/>
      <c r="J78" s="951"/>
      <c r="K78" s="951"/>
      <c r="L78" s="951"/>
      <c r="M78" s="952"/>
    </row>
    <row r="79" spans="1:13" ht="11.25" customHeight="1" x14ac:dyDescent="0.15">
      <c r="A79" s="45"/>
      <c r="B79" s="482"/>
      <c r="C79" s="483"/>
      <c r="D79" s="483"/>
      <c r="E79" s="483"/>
      <c r="F79" s="483"/>
      <c r="G79" s="483"/>
      <c r="H79" s="483"/>
      <c r="I79" s="483"/>
      <c r="J79" s="483"/>
      <c r="K79" s="483"/>
      <c r="L79" s="483"/>
      <c r="M79" s="484"/>
    </row>
    <row r="80" spans="1:13" ht="11.25" customHeight="1" x14ac:dyDescent="0.15">
      <c r="A80" s="45"/>
      <c r="B80" s="485"/>
      <c r="C80" s="486"/>
      <c r="D80" s="486"/>
      <c r="E80" s="486"/>
      <c r="F80" s="486"/>
      <c r="G80" s="486"/>
      <c r="H80" s="486"/>
      <c r="I80" s="486"/>
      <c r="J80" s="486"/>
      <c r="K80" s="486"/>
      <c r="L80" s="486"/>
      <c r="M80" s="487"/>
    </row>
    <row r="81" spans="1:13" ht="11.25" customHeight="1" x14ac:dyDescent="0.15">
      <c r="A81" s="45"/>
      <c r="B81" s="485"/>
      <c r="C81" s="486"/>
      <c r="D81" s="486"/>
      <c r="E81" s="486"/>
      <c r="F81" s="486"/>
      <c r="G81" s="486"/>
      <c r="H81" s="486"/>
      <c r="I81" s="486"/>
      <c r="J81" s="486"/>
      <c r="K81" s="486"/>
      <c r="L81" s="486"/>
      <c r="M81" s="487"/>
    </row>
    <row r="82" spans="1:13" ht="12" customHeight="1" thickBot="1" x14ac:dyDescent="0.2">
      <c r="A82" s="45"/>
      <c r="B82" s="488"/>
      <c r="C82" s="489"/>
      <c r="D82" s="489"/>
      <c r="E82" s="489"/>
      <c r="F82" s="489"/>
      <c r="G82" s="489"/>
      <c r="H82" s="489"/>
      <c r="I82" s="489"/>
      <c r="J82" s="489"/>
      <c r="K82" s="489"/>
      <c r="L82" s="489"/>
      <c r="M82" s="490"/>
    </row>
    <row r="83" spans="1:13" ht="13.5" thickBot="1" x14ac:dyDescent="0.2">
      <c r="A83" s="45"/>
      <c r="B83" s="192"/>
      <c r="C83" s="192"/>
      <c r="D83" s="192"/>
      <c r="E83" s="192"/>
      <c r="F83" s="192"/>
      <c r="G83" s="192"/>
      <c r="H83" s="192"/>
      <c r="I83" s="192"/>
      <c r="J83" s="192"/>
      <c r="K83" s="192"/>
      <c r="L83" s="192"/>
      <c r="M83" s="192"/>
    </row>
    <row r="84" spans="1:13" ht="13.5" thickBot="1" x14ac:dyDescent="0.25">
      <c r="A84" s="45"/>
      <c r="B84" s="481" t="s">
        <v>122</v>
      </c>
      <c r="C84" s="950" t="s">
        <v>114</v>
      </c>
      <c r="D84" s="951"/>
      <c r="E84" s="951"/>
      <c r="F84" s="951"/>
      <c r="G84" s="951"/>
      <c r="H84" s="951"/>
      <c r="I84" s="951"/>
      <c r="J84" s="951"/>
      <c r="K84" s="951"/>
      <c r="L84" s="951"/>
      <c r="M84" s="952"/>
    </row>
    <row r="85" spans="1:13" ht="11.25" customHeight="1" x14ac:dyDescent="0.15">
      <c r="A85" s="45"/>
      <c r="B85" s="482"/>
      <c r="C85" s="483"/>
      <c r="D85" s="483"/>
      <c r="E85" s="483"/>
      <c r="F85" s="483"/>
      <c r="G85" s="483"/>
      <c r="H85" s="483"/>
      <c r="I85" s="483"/>
      <c r="J85" s="483"/>
      <c r="K85" s="483"/>
      <c r="L85" s="483"/>
      <c r="M85" s="484"/>
    </row>
    <row r="86" spans="1:13" ht="11.25" customHeight="1" x14ac:dyDescent="0.15">
      <c r="A86" s="45"/>
      <c r="B86" s="485"/>
      <c r="C86" s="486"/>
      <c r="D86" s="486"/>
      <c r="E86" s="486"/>
      <c r="F86" s="486"/>
      <c r="G86" s="486"/>
      <c r="H86" s="486"/>
      <c r="I86" s="486"/>
      <c r="J86" s="486"/>
      <c r="K86" s="486"/>
      <c r="L86" s="486"/>
      <c r="M86" s="487"/>
    </row>
    <row r="87" spans="1:13" ht="11.25" customHeight="1" x14ac:dyDescent="0.15">
      <c r="A87" s="45"/>
      <c r="B87" s="485"/>
      <c r="C87" s="486"/>
      <c r="D87" s="486"/>
      <c r="E87" s="486"/>
      <c r="F87" s="486"/>
      <c r="G87" s="486"/>
      <c r="H87" s="486"/>
      <c r="I87" s="486"/>
      <c r="J87" s="486"/>
      <c r="K87" s="486"/>
      <c r="L87" s="486"/>
      <c r="M87" s="487"/>
    </row>
    <row r="88" spans="1:13" ht="12" customHeight="1" thickBot="1" x14ac:dyDescent="0.2">
      <c r="A88" s="45"/>
      <c r="B88" s="488"/>
      <c r="C88" s="489"/>
      <c r="D88" s="489"/>
      <c r="E88" s="489"/>
      <c r="F88" s="489"/>
      <c r="G88" s="489"/>
      <c r="H88" s="489"/>
      <c r="I88" s="489"/>
      <c r="J88" s="489"/>
      <c r="K88" s="489"/>
      <c r="L88" s="489"/>
      <c r="M88" s="490"/>
    </row>
    <row r="89" spans="1:13" ht="13.5" thickBot="1" x14ac:dyDescent="0.2">
      <c r="A89" s="45"/>
      <c r="B89" s="192"/>
      <c r="C89" s="192"/>
      <c r="D89" s="192"/>
      <c r="E89" s="192"/>
      <c r="F89" s="192"/>
      <c r="G89" s="192"/>
      <c r="H89" s="192"/>
      <c r="I89" s="192"/>
      <c r="J89" s="192"/>
      <c r="K89" s="192"/>
      <c r="L89" s="192"/>
      <c r="M89" s="192"/>
    </row>
    <row r="90" spans="1:13" x14ac:dyDescent="0.15">
      <c r="B90" s="299" t="s">
        <v>35</v>
      </c>
      <c r="C90" s="300"/>
      <c r="D90" s="301"/>
      <c r="E90" s="302"/>
      <c r="F90" s="300"/>
      <c r="G90" s="300"/>
      <c r="H90" s="300"/>
      <c r="I90" s="300"/>
      <c r="J90" s="300"/>
      <c r="K90" s="300"/>
      <c r="L90" s="300"/>
      <c r="M90" s="303"/>
    </row>
    <row r="91" spans="1:13" x14ac:dyDescent="0.15">
      <c r="B91" s="500"/>
      <c r="C91" s="501"/>
      <c r="D91" s="501"/>
      <c r="E91" s="501"/>
      <c r="F91" s="501"/>
      <c r="G91" s="501"/>
      <c r="H91" s="501"/>
      <c r="I91" s="501"/>
      <c r="J91" s="501"/>
      <c r="K91" s="501"/>
      <c r="L91" s="501"/>
      <c r="M91" s="502"/>
    </row>
    <row r="92" spans="1:13" x14ac:dyDescent="0.15">
      <c r="B92" s="503"/>
      <c r="C92" s="504"/>
      <c r="D92" s="504"/>
      <c r="E92" s="504"/>
      <c r="F92" s="504"/>
      <c r="G92" s="504"/>
      <c r="H92" s="504"/>
      <c r="I92" s="504"/>
      <c r="J92" s="504"/>
      <c r="K92" s="504"/>
      <c r="L92" s="504"/>
      <c r="M92" s="505"/>
    </row>
    <row r="93" spans="1:13" x14ac:dyDescent="0.15">
      <c r="B93" s="503"/>
      <c r="C93" s="504"/>
      <c r="D93" s="504"/>
      <c r="E93" s="504"/>
      <c r="F93" s="504"/>
      <c r="G93" s="504"/>
      <c r="H93" s="504"/>
      <c r="I93" s="504"/>
      <c r="J93" s="504"/>
      <c r="K93" s="504"/>
      <c r="L93" s="504"/>
      <c r="M93" s="505"/>
    </row>
    <row r="94" spans="1:13" x14ac:dyDescent="0.15">
      <c r="B94" s="503"/>
      <c r="C94" s="504"/>
      <c r="D94" s="504"/>
      <c r="E94" s="504"/>
      <c r="F94" s="504"/>
      <c r="G94" s="504"/>
      <c r="H94" s="504"/>
      <c r="I94" s="504"/>
      <c r="J94" s="504"/>
      <c r="K94" s="504"/>
      <c r="L94" s="504"/>
      <c r="M94" s="505"/>
    </row>
    <row r="95" spans="1:13" x14ac:dyDescent="0.15">
      <c r="B95" s="503"/>
      <c r="C95" s="504"/>
      <c r="D95" s="504"/>
      <c r="E95" s="504"/>
      <c r="F95" s="504"/>
      <c r="G95" s="504"/>
      <c r="H95" s="504"/>
      <c r="I95" s="504"/>
      <c r="J95" s="504"/>
      <c r="K95" s="504"/>
      <c r="L95" s="504"/>
      <c r="M95" s="505"/>
    </row>
    <row r="96" spans="1:13" x14ac:dyDescent="0.15">
      <c r="B96" s="503"/>
      <c r="C96" s="504"/>
      <c r="D96" s="504"/>
      <c r="E96" s="504"/>
      <c r="F96" s="504"/>
      <c r="G96" s="504"/>
      <c r="H96" s="504"/>
      <c r="I96" s="504"/>
      <c r="J96" s="504"/>
      <c r="K96" s="504"/>
      <c r="L96" s="504"/>
      <c r="M96" s="505"/>
    </row>
    <row r="97" spans="2:13" x14ac:dyDescent="0.15">
      <c r="B97" s="503"/>
      <c r="C97" s="504"/>
      <c r="D97" s="504"/>
      <c r="E97" s="504"/>
      <c r="F97" s="504"/>
      <c r="G97" s="504"/>
      <c r="H97" s="504"/>
      <c r="I97" s="504"/>
      <c r="J97" s="504"/>
      <c r="K97" s="504"/>
      <c r="L97" s="504"/>
      <c r="M97" s="505"/>
    </row>
    <row r="98" spans="2:13" x14ac:dyDescent="0.15">
      <c r="B98" s="503"/>
      <c r="C98" s="504"/>
      <c r="D98" s="504"/>
      <c r="E98" s="504"/>
      <c r="F98" s="504"/>
      <c r="G98" s="504"/>
      <c r="H98" s="504"/>
      <c r="I98" s="504"/>
      <c r="J98" s="504"/>
      <c r="K98" s="504"/>
      <c r="L98" s="504"/>
      <c r="M98" s="505"/>
    </row>
    <row r="99" spans="2:13" x14ac:dyDescent="0.15">
      <c r="B99" s="503"/>
      <c r="C99" s="504"/>
      <c r="D99" s="504"/>
      <c r="E99" s="504"/>
      <c r="F99" s="504"/>
      <c r="G99" s="504"/>
      <c r="H99" s="504"/>
      <c r="I99" s="504"/>
      <c r="J99" s="504"/>
      <c r="K99" s="504"/>
      <c r="L99" s="504"/>
      <c r="M99" s="505"/>
    </row>
    <row r="100" spans="2:13" x14ac:dyDescent="0.15">
      <c r="B100" s="503"/>
      <c r="C100" s="504"/>
      <c r="D100" s="504"/>
      <c r="E100" s="504"/>
      <c r="F100" s="504"/>
      <c r="G100" s="504"/>
      <c r="H100" s="504"/>
      <c r="I100" s="504"/>
      <c r="J100" s="504"/>
      <c r="K100" s="504"/>
      <c r="L100" s="504"/>
      <c r="M100" s="505"/>
    </row>
    <row r="101" spans="2:13" x14ac:dyDescent="0.15">
      <c r="B101" s="503"/>
      <c r="C101" s="504"/>
      <c r="D101" s="504"/>
      <c r="E101" s="504"/>
      <c r="F101" s="504"/>
      <c r="G101" s="504"/>
      <c r="H101" s="504"/>
      <c r="I101" s="504"/>
      <c r="J101" s="504"/>
      <c r="K101" s="504"/>
      <c r="L101" s="504"/>
      <c r="M101" s="505"/>
    </row>
    <row r="102" spans="2:13" x14ac:dyDescent="0.15">
      <c r="B102" s="503"/>
      <c r="C102" s="504"/>
      <c r="D102" s="504"/>
      <c r="E102" s="504"/>
      <c r="F102" s="504"/>
      <c r="G102" s="504"/>
      <c r="H102" s="504"/>
      <c r="I102" s="504"/>
      <c r="J102" s="504"/>
      <c r="K102" s="504"/>
      <c r="L102" s="504"/>
      <c r="M102" s="505"/>
    </row>
    <row r="103" spans="2:13" x14ac:dyDescent="0.15">
      <c r="B103" s="503"/>
      <c r="C103" s="504"/>
      <c r="D103" s="504"/>
      <c r="E103" s="504"/>
      <c r="F103" s="504"/>
      <c r="G103" s="504"/>
      <c r="H103" s="504"/>
      <c r="I103" s="504"/>
      <c r="J103" s="504"/>
      <c r="K103" s="504"/>
      <c r="L103" s="504"/>
      <c r="M103" s="505"/>
    </row>
    <row r="104" spans="2:13" x14ac:dyDescent="0.15">
      <c r="B104" s="503"/>
      <c r="C104" s="504"/>
      <c r="D104" s="504"/>
      <c r="E104" s="504"/>
      <c r="F104" s="504"/>
      <c r="G104" s="504"/>
      <c r="H104" s="504"/>
      <c r="I104" s="504"/>
      <c r="J104" s="504"/>
      <c r="K104" s="504"/>
      <c r="L104" s="504"/>
      <c r="M104" s="505"/>
    </row>
    <row r="105" spans="2:13" x14ac:dyDescent="0.15">
      <c r="B105" s="503"/>
      <c r="C105" s="504"/>
      <c r="D105" s="504"/>
      <c r="E105" s="504"/>
      <c r="F105" s="504"/>
      <c r="G105" s="504"/>
      <c r="H105" s="504"/>
      <c r="I105" s="504"/>
      <c r="J105" s="504"/>
      <c r="K105" s="504"/>
      <c r="L105" s="504"/>
      <c r="M105" s="505"/>
    </row>
    <row r="106" spans="2:13" x14ac:dyDescent="0.15">
      <c r="B106" s="503"/>
      <c r="C106" s="504"/>
      <c r="D106" s="504"/>
      <c r="E106" s="504"/>
      <c r="F106" s="504"/>
      <c r="G106" s="504"/>
      <c r="H106" s="504"/>
      <c r="I106" s="504"/>
      <c r="J106" s="504"/>
      <c r="K106" s="504"/>
      <c r="L106" s="504"/>
      <c r="M106" s="505"/>
    </row>
    <row r="107" spans="2:13" x14ac:dyDescent="0.15">
      <c r="B107" s="503"/>
      <c r="C107" s="504"/>
      <c r="D107" s="504"/>
      <c r="E107" s="504"/>
      <c r="F107" s="504"/>
      <c r="G107" s="504"/>
      <c r="H107" s="504"/>
      <c r="I107" s="504"/>
      <c r="J107" s="504"/>
      <c r="K107" s="504"/>
      <c r="L107" s="504"/>
      <c r="M107" s="505"/>
    </row>
    <row r="108" spans="2:13" x14ac:dyDescent="0.15">
      <c r="B108" s="503"/>
      <c r="C108" s="504"/>
      <c r="D108" s="504"/>
      <c r="E108" s="504"/>
      <c r="F108" s="504"/>
      <c r="G108" s="504"/>
      <c r="H108" s="504"/>
      <c r="I108" s="504"/>
      <c r="J108" s="504"/>
      <c r="K108" s="504"/>
      <c r="L108" s="504"/>
      <c r="M108" s="505"/>
    </row>
    <row r="109" spans="2:13" ht="12" thickBot="1" x14ac:dyDescent="0.2">
      <c r="B109" s="506"/>
      <c r="C109" s="507"/>
      <c r="D109" s="507"/>
      <c r="E109" s="507"/>
      <c r="F109" s="507"/>
      <c r="G109" s="507"/>
      <c r="H109" s="507"/>
      <c r="I109" s="507"/>
      <c r="J109" s="507"/>
      <c r="K109" s="507"/>
      <c r="L109" s="507"/>
      <c r="M109" s="508"/>
    </row>
  </sheetData>
  <sheetProtection algorithmName="SHA-512" hashValue="hXyDJ7Tj7GWejzTJcQgZQjFFwWRBdW8oOKNRPEkfc85yWNg0nhoiR5chqw8dPB4MYrB/gfVZW70uLIculDwHsA==" saltValue="4czZ4jjPCvT7zOgfZOOJaw==" spinCount="100000" sheet="1" objects="1" scenarios="1"/>
  <mergeCells count="13">
    <mergeCell ref="C2:F2"/>
    <mergeCell ref="C3:F3"/>
    <mergeCell ref="C72:M72"/>
    <mergeCell ref="C78:M78"/>
    <mergeCell ref="C30:M30"/>
    <mergeCell ref="C60:M60"/>
    <mergeCell ref="C29:M29"/>
    <mergeCell ref="C36:M36"/>
    <mergeCell ref="C84:M84"/>
    <mergeCell ref="C42:M42"/>
    <mergeCell ref="C66:M66"/>
    <mergeCell ref="C48:M48"/>
    <mergeCell ref="C54:M54"/>
  </mergeCells>
  <phoneticPr fontId="6" type="noConversion"/>
  <pageMargins left="0.25" right="0.25" top="0.75" bottom="0.75" header="0.3" footer="0.3"/>
  <pageSetup paperSize="9" scale="54" orientation="portrait" horizontalDpi="4294967292"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72704-4AE2-49F9-BB0B-559580DF1217}">
  <sheetPr codeName="Sheet2">
    <tabColor rgb="FFFFFF00"/>
  </sheetPr>
  <dimension ref="A1:EL215"/>
  <sheetViews>
    <sheetView showGridLines="0" zoomScale="80" zoomScaleNormal="80" zoomScaleSheetLayoutView="70" workbookViewId="0">
      <selection activeCell="I89" sqref="I89"/>
    </sheetView>
  </sheetViews>
  <sheetFormatPr defaultColWidth="0" defaultRowHeight="14.25" zeroHeight="1" x14ac:dyDescent="0.2"/>
  <cols>
    <col min="1" max="1" width="1.5703125" style="760" customWidth="1"/>
    <col min="2" max="2" width="1.5703125" style="746" customWidth="1"/>
    <col min="3" max="3" width="4.28515625" style="746" customWidth="1"/>
    <col min="4" max="4" width="1.5703125" style="746" customWidth="1"/>
    <col min="5" max="5" width="59.28515625" style="746" customWidth="1"/>
    <col min="6" max="6" width="20.28515625" style="765" hidden="1" customWidth="1"/>
    <col min="7" max="7" width="22.7109375" style="746" customWidth="1"/>
    <col min="8" max="8" width="15" style="746" customWidth="1"/>
    <col min="9" max="9" width="24.7109375" style="766" customWidth="1"/>
    <col min="10" max="11" width="1" style="746" customWidth="1"/>
    <col min="12" max="15" width="1.5703125" style="746" customWidth="1"/>
    <col min="16" max="79" width="10.7109375" style="746" customWidth="1"/>
    <col min="80" max="80" width="10.5703125" style="746" customWidth="1"/>
    <col min="81" max="81" width="4.5703125" style="746" customWidth="1"/>
    <col min="82" max="88" width="8.5703125" style="746" customWidth="1"/>
    <col min="89" max="142" width="0" style="746" hidden="1" customWidth="1"/>
    <col min="143" max="16384" width="8.5703125" style="746" hidden="1"/>
  </cols>
  <sheetData>
    <row r="1" spans="1:85" x14ac:dyDescent="0.2">
      <c r="A1" s="742"/>
      <c r="B1" s="743"/>
      <c r="C1" s="743"/>
      <c r="D1" s="743"/>
      <c r="E1" s="743"/>
      <c r="F1" s="744"/>
      <c r="G1" s="743"/>
      <c r="H1" s="743"/>
      <c r="I1" s="743"/>
      <c r="J1" s="743"/>
      <c r="K1" s="743"/>
      <c r="L1" s="745"/>
      <c r="M1" s="743"/>
      <c r="CF1" s="746" t="s">
        <v>270</v>
      </c>
      <c r="CG1" s="746" t="s">
        <v>269</v>
      </c>
    </row>
    <row r="2" spans="1:85" s="752" customFormat="1" ht="22.5" x14ac:dyDescent="0.2">
      <c r="A2" s="747" t="s">
        <v>514</v>
      </c>
      <c r="B2" s="748"/>
      <c r="C2" s="749"/>
      <c r="D2" s="749"/>
      <c r="E2" s="749"/>
      <c r="F2" s="750"/>
      <c r="G2" s="749"/>
      <c r="H2" s="749"/>
      <c r="I2" s="749"/>
      <c r="J2" s="749"/>
      <c r="K2" s="749"/>
      <c r="L2" s="751"/>
      <c r="M2" s="749"/>
      <c r="CF2" s="746" t="s">
        <v>268</v>
      </c>
      <c r="CG2" s="746" t="s">
        <v>255</v>
      </c>
    </row>
    <row r="3" spans="1:85" ht="15" thickBot="1" x14ac:dyDescent="0.25">
      <c r="A3" s="753"/>
      <c r="B3" s="754"/>
      <c r="C3" s="755"/>
      <c r="D3" s="755"/>
      <c r="E3" s="755"/>
      <c r="F3" s="756"/>
      <c r="G3" s="755"/>
      <c r="H3" s="755"/>
      <c r="I3" s="755"/>
      <c r="J3" s="755"/>
      <c r="K3" s="755"/>
      <c r="L3" s="757"/>
      <c r="M3" s="755"/>
      <c r="CF3" s="746" t="s">
        <v>266</v>
      </c>
    </row>
    <row r="4" spans="1:85" ht="15" thickBot="1" x14ac:dyDescent="0.2">
      <c r="A4" s="560" t="s">
        <v>103</v>
      </c>
      <c r="B4" s="561"/>
      <c r="C4" s="561"/>
      <c r="D4" s="561"/>
      <c r="E4" s="561"/>
      <c r="F4" s="561"/>
      <c r="G4" s="561"/>
      <c r="H4" s="561"/>
      <c r="I4" s="561"/>
      <c r="J4" s="561"/>
      <c r="K4" s="561"/>
      <c r="L4" s="562"/>
      <c r="M4" s="755"/>
    </row>
    <row r="5" spans="1:85" x14ac:dyDescent="0.15">
      <c r="A5" s="577" t="s">
        <v>489</v>
      </c>
      <c r="B5" s="740"/>
      <c r="C5" s="740"/>
      <c r="D5" s="740"/>
      <c r="E5" s="740"/>
      <c r="F5" s="740"/>
      <c r="G5" s="740"/>
      <c r="H5" s="740"/>
      <c r="I5" s="740"/>
      <c r="J5" s="726"/>
      <c r="K5" s="726"/>
      <c r="L5" s="727"/>
      <c r="M5" s="755"/>
    </row>
    <row r="6" spans="1:85" x14ac:dyDescent="0.15">
      <c r="A6" s="728" t="s">
        <v>595</v>
      </c>
      <c r="B6" s="739"/>
      <c r="C6" s="739"/>
      <c r="D6" s="739"/>
      <c r="E6" s="739"/>
      <c r="F6" s="739"/>
      <c r="G6" s="739"/>
      <c r="H6" s="739"/>
      <c r="I6" s="739"/>
      <c r="J6" s="729"/>
      <c r="K6" s="729"/>
      <c r="L6" s="730"/>
      <c r="M6" s="755"/>
    </row>
    <row r="7" spans="1:85" x14ac:dyDescent="0.15">
      <c r="A7" s="728" t="s">
        <v>524</v>
      </c>
      <c r="B7" s="739"/>
      <c r="C7" s="739"/>
      <c r="D7" s="739"/>
      <c r="E7" s="739"/>
      <c r="F7" s="739"/>
      <c r="G7" s="739"/>
      <c r="H7" s="739"/>
      <c r="I7" s="739"/>
      <c r="J7" s="729"/>
      <c r="K7" s="729"/>
      <c r="L7" s="730"/>
      <c r="M7" s="755"/>
    </row>
    <row r="8" spans="1:85" x14ac:dyDescent="0.15">
      <c r="A8" s="728" t="s">
        <v>525</v>
      </c>
      <c r="B8" s="739"/>
      <c r="C8" s="739"/>
      <c r="D8" s="739"/>
      <c r="E8" s="739"/>
      <c r="F8" s="739"/>
      <c r="G8" s="739"/>
      <c r="H8" s="739"/>
      <c r="I8" s="739"/>
      <c r="J8" s="729"/>
      <c r="K8" s="729"/>
      <c r="L8" s="730"/>
      <c r="M8" s="755"/>
    </row>
    <row r="9" spans="1:85" x14ac:dyDescent="0.15">
      <c r="A9" s="580" t="s">
        <v>526</v>
      </c>
      <c r="B9" s="739"/>
      <c r="C9" s="739"/>
      <c r="D9" s="739"/>
      <c r="E9" s="739"/>
      <c r="F9" s="739"/>
      <c r="G9" s="739"/>
      <c r="H9" s="739"/>
      <c r="I9" s="739"/>
      <c r="J9" s="729"/>
      <c r="K9" s="729"/>
      <c r="L9" s="730"/>
      <c r="M9" s="755"/>
    </row>
    <row r="10" spans="1:85" x14ac:dyDescent="0.15">
      <c r="A10" s="580" t="s">
        <v>527</v>
      </c>
      <c r="B10" s="739"/>
      <c r="C10" s="739"/>
      <c r="D10" s="739"/>
      <c r="E10" s="739"/>
      <c r="F10" s="739"/>
      <c r="G10" s="739"/>
      <c r="H10" s="739"/>
      <c r="I10" s="739"/>
      <c r="J10" s="729"/>
      <c r="K10" s="729"/>
      <c r="L10" s="730"/>
      <c r="M10" s="755"/>
    </row>
    <row r="11" spans="1:85" x14ac:dyDescent="0.15">
      <c r="A11" s="580" t="s">
        <v>490</v>
      </c>
      <c r="B11" s="739"/>
      <c r="C11" s="739"/>
      <c r="D11" s="739"/>
      <c r="E11" s="739"/>
      <c r="F11" s="739"/>
      <c r="G11" s="739"/>
      <c r="H11" s="739"/>
      <c r="I11" s="739"/>
      <c r="J11" s="729"/>
      <c r="K11" s="729"/>
      <c r="L11" s="730"/>
      <c r="M11" s="755"/>
    </row>
    <row r="12" spans="1:85" x14ac:dyDescent="0.15">
      <c r="A12" s="580" t="s">
        <v>491</v>
      </c>
      <c r="B12" s="739"/>
      <c r="C12" s="739"/>
      <c r="D12" s="739"/>
      <c r="E12" s="739"/>
      <c r="F12" s="739"/>
      <c r="G12" s="739"/>
      <c r="H12" s="739"/>
      <c r="I12" s="739"/>
      <c r="J12" s="729"/>
      <c r="K12" s="729"/>
      <c r="L12" s="730"/>
      <c r="M12" s="755"/>
    </row>
    <row r="13" spans="1:85" x14ac:dyDescent="0.15">
      <c r="A13" s="580"/>
      <c r="B13" s="739"/>
      <c r="C13" s="739"/>
      <c r="D13" s="739"/>
      <c r="E13" s="739"/>
      <c r="F13" s="739"/>
      <c r="G13" s="739"/>
      <c r="H13" s="739"/>
      <c r="I13" s="739"/>
      <c r="J13" s="729"/>
      <c r="K13" s="729"/>
      <c r="L13" s="730"/>
      <c r="M13" s="755"/>
    </row>
    <row r="14" spans="1:85" x14ac:dyDescent="0.15">
      <c r="A14" s="580" t="s">
        <v>596</v>
      </c>
      <c r="B14" s="739"/>
      <c r="C14" s="739"/>
      <c r="D14" s="739"/>
      <c r="E14" s="739"/>
      <c r="F14" s="739"/>
      <c r="G14" s="739"/>
      <c r="H14" s="739"/>
      <c r="I14" s="739"/>
      <c r="J14" s="729"/>
      <c r="K14" s="729"/>
      <c r="L14" s="730"/>
      <c r="M14" s="755"/>
    </row>
    <row r="15" spans="1:85" ht="15" thickBot="1" x14ac:dyDescent="0.2">
      <c r="A15" s="615" t="s">
        <v>492</v>
      </c>
      <c r="B15" s="741"/>
      <c r="C15" s="741"/>
      <c r="D15" s="741"/>
      <c r="E15" s="741"/>
      <c r="F15" s="741"/>
      <c r="G15" s="741"/>
      <c r="H15" s="741"/>
      <c r="I15" s="741"/>
      <c r="J15" s="732"/>
      <c r="K15" s="732"/>
      <c r="L15" s="733"/>
      <c r="M15" s="755"/>
    </row>
    <row r="16" spans="1:85" x14ac:dyDescent="0.2">
      <c r="A16" s="758"/>
      <c r="B16" s="754"/>
      <c r="C16" s="755"/>
      <c r="D16" s="755"/>
      <c r="E16" s="755"/>
      <c r="F16" s="756"/>
      <c r="G16" s="755"/>
      <c r="H16" s="755"/>
      <c r="I16" s="755"/>
      <c r="J16" s="755"/>
      <c r="K16" s="755"/>
      <c r="L16" s="757"/>
      <c r="M16" s="755"/>
    </row>
    <row r="17" spans="1:81" ht="14.85" customHeight="1" x14ac:dyDescent="0.2">
      <c r="A17" s="753"/>
      <c r="B17" s="755"/>
      <c r="C17" s="755"/>
      <c r="D17" s="755"/>
      <c r="E17" s="755"/>
      <c r="F17" s="756"/>
      <c r="G17" s="755"/>
      <c r="H17" s="755"/>
      <c r="I17" s="755"/>
      <c r="J17" s="755"/>
      <c r="K17" s="755"/>
      <c r="L17" s="757"/>
      <c r="M17" s="759"/>
    </row>
    <row r="18" spans="1:81" ht="14.85" customHeight="1" x14ac:dyDescent="0.2">
      <c r="B18" s="761" t="s">
        <v>265</v>
      </c>
      <c r="C18" s="762"/>
      <c r="D18" s="762"/>
      <c r="E18" s="762"/>
      <c r="F18" s="763"/>
      <c r="G18" s="764" t="s">
        <v>207</v>
      </c>
      <c r="H18" s="764" t="s">
        <v>206</v>
      </c>
      <c r="I18" s="922" t="s">
        <v>212</v>
      </c>
      <c r="J18" s="762"/>
      <c r="K18" s="762"/>
      <c r="L18" s="757"/>
    </row>
    <row r="19" spans="1:81" s="782" customFormat="1" ht="14.85" customHeight="1" x14ac:dyDescent="0.2">
      <c r="A19" s="787"/>
      <c r="F19" s="796"/>
      <c r="I19" s="793"/>
      <c r="L19" s="784"/>
    </row>
    <row r="20" spans="1:81" s="782" customFormat="1" ht="14.85" customHeight="1" x14ac:dyDescent="0.2">
      <c r="A20" s="787"/>
      <c r="E20" s="782" t="s">
        <v>264</v>
      </c>
      <c r="F20" s="796"/>
      <c r="G20" s="799"/>
      <c r="H20" s="782" t="s">
        <v>262</v>
      </c>
      <c r="I20" s="793"/>
      <c r="L20" s="784"/>
    </row>
    <row r="21" spans="1:81" s="782" customFormat="1" ht="14.85" customHeight="1" x14ac:dyDescent="0.2">
      <c r="A21" s="787"/>
      <c r="F21" s="796"/>
      <c r="I21" s="793"/>
      <c r="L21" s="784"/>
    </row>
    <row r="22" spans="1:81" s="782" customFormat="1" ht="14.85" customHeight="1" x14ac:dyDescent="0.2">
      <c r="A22" s="787"/>
      <c r="B22" s="788" t="s">
        <v>42</v>
      </c>
      <c r="C22" s="789"/>
      <c r="D22" s="789"/>
      <c r="E22" s="789"/>
      <c r="F22" s="800"/>
      <c r="G22" s="788" t="s">
        <v>207</v>
      </c>
      <c r="H22" s="788" t="s">
        <v>206</v>
      </c>
      <c r="I22" s="923" t="s">
        <v>212</v>
      </c>
      <c r="J22" s="789"/>
      <c r="K22" s="789"/>
      <c r="L22" s="784"/>
      <c r="P22" s="791">
        <f>'ORT aansluitingen'!$G$22</f>
        <v>1900</v>
      </c>
      <c r="Q22" s="791">
        <f t="shared" ref="Q22:AV22" si="0" xml:space="preserve"> P22 + 1</f>
        <v>1901</v>
      </c>
      <c r="R22" s="791">
        <f t="shared" si="0"/>
        <v>1902</v>
      </c>
      <c r="S22" s="791">
        <f t="shared" si="0"/>
        <v>1903</v>
      </c>
      <c r="T22" s="791">
        <f t="shared" si="0"/>
        <v>1904</v>
      </c>
      <c r="U22" s="791">
        <f t="shared" si="0"/>
        <v>1905</v>
      </c>
      <c r="V22" s="791">
        <f t="shared" si="0"/>
        <v>1906</v>
      </c>
      <c r="W22" s="791">
        <f t="shared" si="0"/>
        <v>1907</v>
      </c>
      <c r="X22" s="791">
        <f t="shared" si="0"/>
        <v>1908</v>
      </c>
      <c r="Y22" s="791">
        <f t="shared" si="0"/>
        <v>1909</v>
      </c>
      <c r="Z22" s="791">
        <f t="shared" si="0"/>
        <v>1910</v>
      </c>
      <c r="AA22" s="791">
        <f t="shared" si="0"/>
        <v>1911</v>
      </c>
      <c r="AB22" s="791">
        <f t="shared" si="0"/>
        <v>1912</v>
      </c>
      <c r="AC22" s="791">
        <f t="shared" si="0"/>
        <v>1913</v>
      </c>
      <c r="AD22" s="791">
        <f t="shared" si="0"/>
        <v>1914</v>
      </c>
      <c r="AE22" s="791">
        <f t="shared" si="0"/>
        <v>1915</v>
      </c>
      <c r="AF22" s="791">
        <f t="shared" si="0"/>
        <v>1916</v>
      </c>
      <c r="AG22" s="791">
        <f t="shared" si="0"/>
        <v>1917</v>
      </c>
      <c r="AH22" s="791">
        <f t="shared" si="0"/>
        <v>1918</v>
      </c>
      <c r="AI22" s="791">
        <f t="shared" si="0"/>
        <v>1919</v>
      </c>
      <c r="AJ22" s="791">
        <f t="shared" si="0"/>
        <v>1920</v>
      </c>
      <c r="AK22" s="791">
        <f t="shared" si="0"/>
        <v>1921</v>
      </c>
      <c r="AL22" s="791">
        <f t="shared" si="0"/>
        <v>1922</v>
      </c>
      <c r="AM22" s="791">
        <f t="shared" si="0"/>
        <v>1923</v>
      </c>
      <c r="AN22" s="791">
        <f t="shared" si="0"/>
        <v>1924</v>
      </c>
      <c r="AO22" s="791">
        <f t="shared" si="0"/>
        <v>1925</v>
      </c>
      <c r="AP22" s="791">
        <f t="shared" si="0"/>
        <v>1926</v>
      </c>
      <c r="AQ22" s="791">
        <f t="shared" si="0"/>
        <v>1927</v>
      </c>
      <c r="AR22" s="791">
        <f t="shared" si="0"/>
        <v>1928</v>
      </c>
      <c r="AS22" s="791">
        <f t="shared" si="0"/>
        <v>1929</v>
      </c>
      <c r="AT22" s="791">
        <f t="shared" si="0"/>
        <v>1930</v>
      </c>
      <c r="AU22" s="791">
        <f t="shared" si="0"/>
        <v>1931</v>
      </c>
      <c r="AV22" s="791">
        <f t="shared" si="0"/>
        <v>1932</v>
      </c>
      <c r="AW22" s="791">
        <f t="shared" ref="AW22:BW22" si="1" xml:space="preserve"> AV22 + 1</f>
        <v>1933</v>
      </c>
      <c r="AX22" s="791">
        <f t="shared" si="1"/>
        <v>1934</v>
      </c>
      <c r="AY22" s="791">
        <f t="shared" si="1"/>
        <v>1935</v>
      </c>
      <c r="AZ22" s="791">
        <f t="shared" si="1"/>
        <v>1936</v>
      </c>
      <c r="BA22" s="791">
        <f t="shared" si="1"/>
        <v>1937</v>
      </c>
      <c r="BB22" s="791">
        <f t="shared" si="1"/>
        <v>1938</v>
      </c>
      <c r="BC22" s="791">
        <f t="shared" si="1"/>
        <v>1939</v>
      </c>
      <c r="BD22" s="791">
        <f t="shared" si="1"/>
        <v>1940</v>
      </c>
      <c r="BE22" s="791">
        <f t="shared" si="1"/>
        <v>1941</v>
      </c>
      <c r="BF22" s="791">
        <f t="shared" si="1"/>
        <v>1942</v>
      </c>
      <c r="BG22" s="791">
        <f t="shared" si="1"/>
        <v>1943</v>
      </c>
      <c r="BH22" s="791">
        <f t="shared" si="1"/>
        <v>1944</v>
      </c>
      <c r="BI22" s="791">
        <f t="shared" si="1"/>
        <v>1945</v>
      </c>
      <c r="BJ22" s="791">
        <f t="shared" si="1"/>
        <v>1946</v>
      </c>
      <c r="BK22" s="791">
        <f t="shared" si="1"/>
        <v>1947</v>
      </c>
      <c r="BL22" s="791">
        <f t="shared" si="1"/>
        <v>1948</v>
      </c>
      <c r="BM22" s="791">
        <f t="shared" si="1"/>
        <v>1949</v>
      </c>
      <c r="BN22" s="791">
        <f t="shared" si="1"/>
        <v>1950</v>
      </c>
      <c r="BO22" s="791">
        <f t="shared" si="1"/>
        <v>1951</v>
      </c>
      <c r="BP22" s="791">
        <f t="shared" si="1"/>
        <v>1952</v>
      </c>
      <c r="BQ22" s="791">
        <f t="shared" si="1"/>
        <v>1953</v>
      </c>
      <c r="BR22" s="791">
        <f t="shared" si="1"/>
        <v>1954</v>
      </c>
      <c r="BS22" s="791">
        <f t="shared" si="1"/>
        <v>1955</v>
      </c>
      <c r="BT22" s="791">
        <f t="shared" si="1"/>
        <v>1956</v>
      </c>
      <c r="BU22" s="791">
        <f t="shared" si="1"/>
        <v>1957</v>
      </c>
      <c r="BV22" s="791">
        <f t="shared" si="1"/>
        <v>1958</v>
      </c>
      <c r="BW22" s="791">
        <f t="shared" si="1"/>
        <v>1959</v>
      </c>
      <c r="BX22" s="786"/>
      <c r="BY22" s="786"/>
      <c r="BZ22" s="786"/>
      <c r="CA22" s="786"/>
      <c r="CB22" s="786"/>
      <c r="CC22" s="786"/>
    </row>
    <row r="23" spans="1:81" s="782" customFormat="1" ht="14.85" customHeight="1" x14ac:dyDescent="0.2">
      <c r="A23" s="787"/>
      <c r="C23" s="792" t="s">
        <v>261</v>
      </c>
      <c r="F23" s="796"/>
      <c r="I23" s="793"/>
      <c r="L23" s="784"/>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6"/>
      <c r="AT23" s="786"/>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86"/>
      <c r="BX23" s="786"/>
      <c r="BY23" s="786"/>
      <c r="BZ23" s="786"/>
      <c r="CA23" s="786"/>
      <c r="CB23" s="786"/>
      <c r="CC23" s="786"/>
    </row>
    <row r="24" spans="1:81" s="782" customFormat="1" ht="14.85" customHeight="1" x14ac:dyDescent="0.2">
      <c r="A24" s="787"/>
      <c r="E24" s="783" t="s">
        <v>260</v>
      </c>
      <c r="F24" s="796"/>
      <c r="G24" s="801">
        <v>0.19</v>
      </c>
      <c r="H24" s="783" t="s">
        <v>258</v>
      </c>
      <c r="I24" s="793"/>
      <c r="L24" s="784"/>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802"/>
      <c r="BA24" s="802"/>
      <c r="BB24" s="802"/>
      <c r="BC24" s="802"/>
      <c r="BD24" s="802"/>
      <c r="BE24" s="802"/>
      <c r="BF24" s="802"/>
      <c r="BG24" s="802"/>
      <c r="BH24" s="802"/>
      <c r="BI24" s="802"/>
      <c r="BJ24" s="802"/>
      <c r="BK24" s="802"/>
      <c r="BL24" s="802"/>
      <c r="BM24" s="802"/>
      <c r="BN24" s="802"/>
      <c r="BO24" s="802"/>
      <c r="BP24" s="802"/>
      <c r="BQ24" s="802"/>
      <c r="BR24" s="802"/>
      <c r="BS24" s="802"/>
      <c r="BT24" s="802"/>
      <c r="BU24" s="802"/>
      <c r="BV24" s="802"/>
      <c r="BW24" s="802"/>
      <c r="BX24" s="786"/>
      <c r="BY24" s="786"/>
      <c r="BZ24" s="786"/>
      <c r="CA24" s="786"/>
      <c r="CB24" s="786"/>
      <c r="CC24" s="786"/>
    </row>
    <row r="25" spans="1:81" s="782" customFormat="1" ht="14.85" customHeight="1" x14ac:dyDescent="0.2">
      <c r="A25" s="787"/>
      <c r="E25" s="783" t="s">
        <v>259</v>
      </c>
      <c r="F25" s="796"/>
      <c r="G25" s="801">
        <v>0.25800000000000001</v>
      </c>
      <c r="H25" s="783" t="s">
        <v>258</v>
      </c>
      <c r="I25" s="793"/>
      <c r="L25" s="784"/>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c r="AR25" s="802"/>
      <c r="AS25" s="802"/>
      <c r="AT25" s="802"/>
      <c r="AU25" s="802"/>
      <c r="AV25" s="802"/>
      <c r="AW25" s="802"/>
      <c r="AX25" s="802"/>
      <c r="AY25" s="802"/>
      <c r="AZ25" s="802"/>
      <c r="BA25" s="802"/>
      <c r="BB25" s="802"/>
      <c r="BC25" s="802"/>
      <c r="BD25" s="802"/>
      <c r="BE25" s="802"/>
      <c r="BF25" s="802"/>
      <c r="BG25" s="802"/>
      <c r="BH25" s="802"/>
      <c r="BI25" s="802"/>
      <c r="BJ25" s="802"/>
      <c r="BK25" s="802"/>
      <c r="BL25" s="802"/>
      <c r="BM25" s="802"/>
      <c r="BN25" s="802"/>
      <c r="BO25" s="802"/>
      <c r="BP25" s="802"/>
      <c r="BQ25" s="802"/>
      <c r="BR25" s="802"/>
      <c r="BS25" s="802"/>
      <c r="BT25" s="802"/>
      <c r="BU25" s="802"/>
      <c r="BV25" s="802"/>
      <c r="BW25" s="802"/>
      <c r="BX25" s="786"/>
      <c r="BY25" s="786"/>
      <c r="BZ25" s="786"/>
      <c r="CA25" s="786"/>
      <c r="CB25" s="786"/>
      <c r="CC25" s="786"/>
    </row>
    <row r="26" spans="1:81" s="782" customFormat="1" ht="14.85" customHeight="1" x14ac:dyDescent="0.2">
      <c r="A26" s="787"/>
      <c r="E26" s="783" t="s">
        <v>257</v>
      </c>
      <c r="F26" s="796"/>
      <c r="G26" s="803">
        <v>200000</v>
      </c>
      <c r="H26" s="783"/>
      <c r="I26" s="793"/>
      <c r="L26" s="784"/>
      <c r="P26" s="802"/>
      <c r="Q26" s="802"/>
      <c r="R26" s="802"/>
      <c r="S26" s="802"/>
      <c r="T26" s="802"/>
      <c r="U26" s="802"/>
      <c r="V26" s="802"/>
      <c r="W26" s="802"/>
      <c r="X26" s="802"/>
      <c r="Y26" s="802"/>
      <c r="Z26" s="802"/>
      <c r="AA26" s="802"/>
      <c r="AB26" s="802"/>
      <c r="AC26" s="802"/>
      <c r="AD26" s="802"/>
      <c r="AE26" s="802"/>
      <c r="AF26" s="802"/>
      <c r="AG26" s="802"/>
      <c r="AH26" s="802"/>
      <c r="AI26" s="802"/>
      <c r="AJ26" s="802"/>
      <c r="AK26" s="802"/>
      <c r="AL26" s="802"/>
      <c r="AM26" s="802"/>
      <c r="AN26" s="802"/>
      <c r="AO26" s="802"/>
      <c r="AP26" s="802"/>
      <c r="AQ26" s="802"/>
      <c r="AR26" s="802"/>
      <c r="AS26" s="802"/>
      <c r="AT26" s="802"/>
      <c r="AU26" s="802"/>
      <c r="AV26" s="802"/>
      <c r="AW26" s="802"/>
      <c r="AX26" s="802"/>
      <c r="AY26" s="802"/>
      <c r="AZ26" s="802"/>
      <c r="BA26" s="802"/>
      <c r="BB26" s="802"/>
      <c r="BC26" s="802"/>
      <c r="BD26" s="802"/>
      <c r="BE26" s="802"/>
      <c r="BF26" s="802"/>
      <c r="BG26" s="802"/>
      <c r="BH26" s="802"/>
      <c r="BI26" s="802"/>
      <c r="BJ26" s="802"/>
      <c r="BK26" s="802"/>
      <c r="BL26" s="802"/>
      <c r="BM26" s="802"/>
      <c r="BN26" s="802"/>
      <c r="BO26" s="802"/>
      <c r="BP26" s="802"/>
      <c r="BQ26" s="802"/>
      <c r="BR26" s="802"/>
      <c r="BS26" s="802"/>
      <c r="BT26" s="802"/>
      <c r="BU26" s="802"/>
      <c r="BV26" s="802"/>
      <c r="BW26" s="802"/>
      <c r="BX26" s="786"/>
      <c r="BY26" s="786"/>
      <c r="BZ26" s="786"/>
      <c r="CA26" s="786"/>
      <c r="CB26" s="786"/>
      <c r="CC26" s="786"/>
    </row>
    <row r="27" spans="1:81" s="782" customFormat="1" ht="14.85" customHeight="1" x14ac:dyDescent="0.2">
      <c r="A27" s="787"/>
      <c r="E27" s="786" t="s">
        <v>256</v>
      </c>
      <c r="F27" s="796"/>
      <c r="G27" s="804" t="s">
        <v>255</v>
      </c>
      <c r="H27" s="783"/>
      <c r="I27" s="793"/>
      <c r="L27" s="784"/>
    </row>
    <row r="28" spans="1:81" s="782" customFormat="1" ht="14.85" customHeight="1" x14ac:dyDescent="0.2">
      <c r="A28" s="786"/>
      <c r="B28" s="783"/>
      <c r="C28" s="792" t="s">
        <v>254</v>
      </c>
      <c r="D28" s="783"/>
      <c r="F28" s="796"/>
      <c r="I28" s="793"/>
      <c r="J28" s="783"/>
      <c r="K28" s="783"/>
      <c r="L28" s="784"/>
      <c r="M28" s="783"/>
    </row>
    <row r="29" spans="1:81" s="782" customFormat="1" ht="14.85" customHeight="1" x14ac:dyDescent="0.2">
      <c r="A29" s="786"/>
      <c r="B29" s="783"/>
      <c r="C29" s="783"/>
      <c r="D29" s="783"/>
      <c r="E29" s="787" t="s">
        <v>253</v>
      </c>
      <c r="F29" s="805"/>
      <c r="G29" s="801">
        <v>3.5000000000000001E-3</v>
      </c>
      <c r="H29" s="782" t="s">
        <v>252</v>
      </c>
      <c r="I29" s="793"/>
      <c r="J29" s="783"/>
      <c r="K29" s="783"/>
      <c r="L29" s="784"/>
      <c r="M29" s="783"/>
    </row>
    <row r="30" spans="1:81" s="782" customFormat="1" ht="14.85" customHeight="1" x14ac:dyDescent="0.2">
      <c r="A30" s="787"/>
      <c r="F30" s="796"/>
      <c r="I30" s="793"/>
      <c r="L30" s="784"/>
    </row>
    <row r="31" spans="1:81" s="782" customFormat="1" ht="14.85" customHeight="1" x14ac:dyDescent="0.2">
      <c r="A31" s="787"/>
      <c r="B31" s="806" t="s">
        <v>251</v>
      </c>
      <c r="C31" s="806"/>
      <c r="D31" s="806"/>
      <c r="E31" s="806"/>
      <c r="F31" s="800"/>
      <c r="G31" s="788" t="s">
        <v>207</v>
      </c>
      <c r="H31" s="788" t="s">
        <v>206</v>
      </c>
      <c r="I31" s="923" t="s">
        <v>212</v>
      </c>
      <c r="J31" s="806"/>
      <c r="K31" s="806"/>
      <c r="L31" s="784"/>
    </row>
    <row r="32" spans="1:81" s="782" customFormat="1" ht="14.85" customHeight="1" x14ac:dyDescent="0.2">
      <c r="A32" s="787"/>
      <c r="F32" s="796"/>
      <c r="I32" s="793"/>
      <c r="L32" s="784"/>
    </row>
    <row r="33" spans="1:75" s="782" customFormat="1" ht="14.85" customHeight="1" x14ac:dyDescent="0.2">
      <c r="A33" s="787"/>
      <c r="E33" s="782" t="s">
        <v>251</v>
      </c>
      <c r="F33" s="796"/>
      <c r="G33" s="801">
        <v>4.2299999999999997E-2</v>
      </c>
      <c r="H33" s="782" t="s">
        <v>250</v>
      </c>
      <c r="I33" s="793"/>
      <c r="L33" s="784"/>
    </row>
    <row r="34" spans="1:75" s="782" customFormat="1" ht="14.85" customHeight="1" x14ac:dyDescent="0.2">
      <c r="A34" s="787"/>
      <c r="F34" s="796"/>
      <c r="I34" s="793"/>
      <c r="L34" s="784"/>
    </row>
    <row r="35" spans="1:75" s="782" customFormat="1" ht="14.85" customHeight="1" x14ac:dyDescent="0.2">
      <c r="A35" s="787"/>
      <c r="F35" s="796"/>
      <c r="I35" s="793"/>
      <c r="L35" s="784"/>
    </row>
    <row r="36" spans="1:75" s="782" customFormat="1" ht="14.85" customHeight="1" x14ac:dyDescent="0.2">
      <c r="A36" s="785"/>
      <c r="B36" s="788" t="s">
        <v>249</v>
      </c>
      <c r="C36" s="789"/>
      <c r="D36" s="789"/>
      <c r="E36" s="789"/>
      <c r="F36" s="800"/>
      <c r="G36" s="788" t="s">
        <v>207</v>
      </c>
      <c r="H36" s="788" t="s">
        <v>206</v>
      </c>
      <c r="I36" s="923" t="s">
        <v>212</v>
      </c>
      <c r="J36" s="789"/>
      <c r="K36" s="789"/>
      <c r="L36" s="784"/>
      <c r="M36" s="783"/>
    </row>
    <row r="37" spans="1:75" s="787" customFormat="1" ht="14.85" customHeight="1" x14ac:dyDescent="0.2">
      <c r="A37" s="785"/>
      <c r="B37" s="786"/>
      <c r="C37" s="792" t="s">
        <v>248</v>
      </c>
      <c r="D37" s="786"/>
      <c r="E37" s="786"/>
      <c r="F37" s="807"/>
      <c r="G37" s="786"/>
      <c r="H37" s="786"/>
      <c r="I37" s="798"/>
      <c r="J37" s="786"/>
      <c r="K37" s="786"/>
      <c r="L37" s="794"/>
      <c r="M37" s="786"/>
      <c r="P37" s="782"/>
      <c r="Q37" s="782"/>
    </row>
    <row r="38" spans="1:75" s="782" customFormat="1" ht="14.85" customHeight="1" x14ac:dyDescent="0.2">
      <c r="A38" s="785"/>
      <c r="B38" s="783"/>
      <c r="C38" s="783"/>
      <c r="D38" s="783"/>
      <c r="E38" s="783" t="s">
        <v>247</v>
      </c>
      <c r="F38" s="807"/>
      <c r="G38" s="808"/>
      <c r="H38" s="783" t="s">
        <v>246</v>
      </c>
      <c r="I38" s="809" t="s">
        <v>214</v>
      </c>
      <c r="J38" s="810"/>
      <c r="K38" s="810"/>
      <c r="L38" s="784"/>
      <c r="M38" s="783"/>
      <c r="P38" s="787"/>
      <c r="Q38" s="787"/>
    </row>
    <row r="39" spans="1:75" s="782" customFormat="1" ht="14.85" customHeight="1" x14ac:dyDescent="0.2">
      <c r="A39" s="785"/>
      <c r="B39" s="783"/>
      <c r="C39" s="811"/>
      <c r="D39" s="783"/>
      <c r="E39" s="783" t="s">
        <v>245</v>
      </c>
      <c r="F39" s="807"/>
      <c r="G39" s="812" t="e">
        <f>VLOOKUP(G20,ORT_Lijsten!$B$2:$H$4,4)</f>
        <v>#N/A</v>
      </c>
      <c r="H39" s="783" t="s">
        <v>243</v>
      </c>
      <c r="I39" s="809" t="s">
        <v>214</v>
      </c>
      <c r="J39" s="810"/>
      <c r="K39" s="810"/>
      <c r="L39" s="784"/>
      <c r="M39" s="783"/>
      <c r="P39" s="787"/>
      <c r="Q39" s="787"/>
    </row>
    <row r="40" spans="1:75" s="782" customFormat="1" ht="14.85" customHeight="1" x14ac:dyDescent="0.2">
      <c r="A40" s="785"/>
      <c r="B40" s="783"/>
      <c r="C40" s="783"/>
      <c r="D40" s="783"/>
      <c r="E40" s="783" t="s">
        <v>244</v>
      </c>
      <c r="F40" s="807"/>
      <c r="G40" s="812" t="e">
        <f>VLOOKUP(G20,ORT_Lijsten!$B$2:$H$4,5)</f>
        <v>#N/A</v>
      </c>
      <c r="H40" s="783" t="s">
        <v>243</v>
      </c>
      <c r="I40" s="809" t="s">
        <v>214</v>
      </c>
      <c r="J40" s="810"/>
      <c r="K40" s="810"/>
      <c r="L40" s="784"/>
      <c r="M40" s="783"/>
      <c r="P40" s="787"/>
      <c r="Q40" s="787"/>
    </row>
    <row r="41" spans="1:75" s="782" customFormat="1" ht="14.85" customHeight="1" x14ac:dyDescent="0.2">
      <c r="A41" s="785"/>
      <c r="B41" s="783"/>
      <c r="C41" s="811"/>
      <c r="D41" s="783"/>
      <c r="E41" s="783" t="s">
        <v>242</v>
      </c>
      <c r="F41" s="807"/>
      <c r="G41" s="812" t="e">
        <f>VLOOKUP(G20,ORT_Lijsten!$B$2:$H$4,6)</f>
        <v>#N/A</v>
      </c>
      <c r="H41" s="783" t="s">
        <v>241</v>
      </c>
      <c r="I41" s="809" t="s">
        <v>214</v>
      </c>
      <c r="J41" s="810"/>
      <c r="K41" s="810"/>
      <c r="L41" s="784"/>
      <c r="M41" s="783"/>
      <c r="P41" s="795"/>
      <c r="Q41" s="787"/>
    </row>
    <row r="42" spans="1:75" s="787" customFormat="1" ht="14.85" customHeight="1" x14ac:dyDescent="0.2">
      <c r="F42" s="813"/>
      <c r="I42" s="814"/>
      <c r="L42" s="794"/>
      <c r="P42" s="795" t="s">
        <v>240</v>
      </c>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86"/>
    </row>
    <row r="43" spans="1:75" s="782" customFormat="1" ht="14.85" customHeight="1" x14ac:dyDescent="0.2">
      <c r="A43" s="787"/>
      <c r="B43" s="806" t="s">
        <v>239</v>
      </c>
      <c r="C43" s="815"/>
      <c r="D43" s="815"/>
      <c r="E43" s="815"/>
      <c r="F43" s="800"/>
      <c r="G43" s="806" t="s">
        <v>207</v>
      </c>
      <c r="H43" s="806" t="s">
        <v>206</v>
      </c>
      <c r="I43" s="923" t="s">
        <v>212</v>
      </c>
      <c r="J43" s="806"/>
      <c r="K43" s="806"/>
      <c r="L43" s="784"/>
      <c r="P43" s="791">
        <f>'ORT aansluitingen'!$G$22</f>
        <v>1900</v>
      </c>
      <c r="Q43" s="791">
        <f t="shared" ref="Q43:W43" si="2" xml:space="preserve"> P43 + 1</f>
        <v>1901</v>
      </c>
      <c r="R43" s="791">
        <f t="shared" si="2"/>
        <v>1902</v>
      </c>
      <c r="S43" s="791">
        <f t="shared" si="2"/>
        <v>1903</v>
      </c>
      <c r="T43" s="791">
        <f t="shared" si="2"/>
        <v>1904</v>
      </c>
      <c r="U43" s="791">
        <f t="shared" si="2"/>
        <v>1905</v>
      </c>
      <c r="V43" s="791">
        <f t="shared" si="2"/>
        <v>1906</v>
      </c>
      <c r="W43" s="791">
        <f t="shared" si="2"/>
        <v>1907</v>
      </c>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6"/>
      <c r="AY43" s="816"/>
      <c r="AZ43" s="816"/>
      <c r="BA43" s="816"/>
      <c r="BB43" s="816"/>
      <c r="BC43" s="816"/>
      <c r="BD43" s="816"/>
      <c r="BE43" s="816"/>
      <c r="BF43" s="816"/>
      <c r="BG43" s="816"/>
      <c r="BH43" s="816"/>
      <c r="BI43" s="816"/>
      <c r="BJ43" s="816"/>
      <c r="BK43" s="816"/>
      <c r="BL43" s="816"/>
      <c r="BM43" s="816"/>
      <c r="BN43" s="816"/>
      <c r="BO43" s="816"/>
      <c r="BP43" s="816"/>
      <c r="BQ43" s="816"/>
      <c r="BR43" s="816"/>
      <c r="BS43" s="816"/>
      <c r="BT43" s="816"/>
      <c r="BU43" s="816"/>
      <c r="BV43" s="816"/>
      <c r="BW43" s="816"/>
    </row>
    <row r="44" spans="1:75" s="782" customFormat="1" ht="14.85" customHeight="1" x14ac:dyDescent="0.2">
      <c r="A44" s="787"/>
      <c r="C44" s="797" t="s">
        <v>238</v>
      </c>
      <c r="D44" s="797"/>
      <c r="E44" s="797"/>
      <c r="F44" s="796"/>
      <c r="I44" s="793"/>
      <c r="L44" s="784"/>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6"/>
      <c r="AY44" s="786"/>
      <c r="AZ44" s="786"/>
      <c r="BA44" s="786"/>
      <c r="BB44" s="786"/>
      <c r="BC44" s="786"/>
      <c r="BD44" s="786"/>
      <c r="BE44" s="786"/>
      <c r="BF44" s="786"/>
      <c r="BG44" s="786"/>
      <c r="BH44" s="786"/>
      <c r="BI44" s="786"/>
      <c r="BJ44" s="786"/>
      <c r="BK44" s="786"/>
      <c r="BL44" s="786"/>
      <c r="BM44" s="786"/>
      <c r="BN44" s="786"/>
      <c r="BO44" s="786"/>
      <c r="BP44" s="786"/>
      <c r="BQ44" s="786"/>
      <c r="BR44" s="786"/>
      <c r="BS44" s="786"/>
      <c r="BT44" s="786"/>
      <c r="BU44" s="786"/>
      <c r="BV44" s="786"/>
      <c r="BW44" s="786"/>
    </row>
    <row r="45" spans="1:75" s="782" customFormat="1" ht="16.5" customHeight="1" x14ac:dyDescent="0.2">
      <c r="A45" s="787"/>
      <c r="E45" s="817" t="s">
        <v>237</v>
      </c>
      <c r="F45" s="796"/>
      <c r="G45" s="789">
        <f>Begroting!Q65</f>
        <v>0</v>
      </c>
      <c r="H45" s="782" t="s">
        <v>405</v>
      </c>
      <c r="I45" s="809" t="s">
        <v>214</v>
      </c>
      <c r="L45" s="784"/>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6"/>
      <c r="AY45" s="786"/>
      <c r="AZ45" s="786"/>
      <c r="BA45" s="786"/>
      <c r="BB45" s="786"/>
      <c r="BC45" s="786"/>
      <c r="BD45" s="786"/>
      <c r="BE45" s="786"/>
      <c r="BF45" s="786"/>
      <c r="BG45" s="786"/>
      <c r="BH45" s="786"/>
      <c r="BI45" s="786"/>
      <c r="BJ45" s="786"/>
      <c r="BK45" s="786"/>
      <c r="BL45" s="786"/>
      <c r="BM45" s="786"/>
      <c r="BN45" s="786"/>
      <c r="BO45" s="786"/>
      <c r="BP45" s="786"/>
      <c r="BQ45" s="786"/>
      <c r="BR45" s="786"/>
      <c r="BS45" s="786"/>
      <c r="BT45" s="786"/>
      <c r="BU45" s="786"/>
      <c r="BV45" s="786"/>
      <c r="BW45" s="786"/>
    </row>
    <row r="46" spans="1:75" s="782" customFormat="1" ht="11.25" x14ac:dyDescent="0.2">
      <c r="A46" s="787"/>
      <c r="E46" s="818" t="s">
        <v>597</v>
      </c>
      <c r="F46" s="796"/>
      <c r="G46" s="819" t="str">
        <f>IF(SUM(P46:BW46)=1,"WAAR","ONWAAR")</f>
        <v>ONWAAR</v>
      </c>
      <c r="H46" s="820"/>
      <c r="I46" s="821"/>
      <c r="J46" s="820"/>
      <c r="K46" s="820"/>
      <c r="L46" s="822"/>
      <c r="M46" s="820"/>
      <c r="N46" s="820"/>
      <c r="O46" s="823"/>
      <c r="P46" s="824"/>
      <c r="Q46" s="824"/>
      <c r="R46" s="824"/>
      <c r="S46" s="824"/>
      <c r="T46" s="824"/>
      <c r="U46" s="824"/>
      <c r="V46" s="824"/>
      <c r="W46" s="824"/>
      <c r="X46" s="825"/>
      <c r="Y46" s="825"/>
      <c r="Z46" s="825"/>
      <c r="AA46" s="825"/>
      <c r="AB46" s="825"/>
      <c r="AC46" s="825"/>
      <c r="AD46" s="825"/>
      <c r="AE46" s="825"/>
      <c r="AF46" s="825"/>
      <c r="AG46" s="825"/>
      <c r="AH46" s="825"/>
      <c r="AI46" s="825"/>
      <c r="AJ46" s="825"/>
      <c r="AK46" s="825"/>
      <c r="AL46" s="825"/>
      <c r="AM46" s="825"/>
      <c r="AN46" s="825"/>
      <c r="AO46" s="825"/>
      <c r="AP46" s="825"/>
      <c r="AQ46" s="825"/>
      <c r="AR46" s="825"/>
      <c r="AS46" s="825"/>
      <c r="AT46" s="825"/>
      <c r="AU46" s="825"/>
      <c r="AV46" s="825"/>
      <c r="AW46" s="825"/>
      <c r="AX46" s="825"/>
      <c r="AY46" s="825"/>
      <c r="AZ46" s="825"/>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row>
    <row r="47" spans="1:75" s="782" customFormat="1" ht="14.85" customHeight="1" x14ac:dyDescent="0.2">
      <c r="A47" s="787"/>
      <c r="C47" s="797" t="s">
        <v>236</v>
      </c>
      <c r="D47" s="797"/>
      <c r="E47" s="797"/>
      <c r="F47" s="796"/>
      <c r="I47" s="793"/>
      <c r="L47" s="784"/>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5"/>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row>
    <row r="48" spans="1:75" s="782" customFormat="1" ht="14.85" customHeight="1" x14ac:dyDescent="0.2">
      <c r="A48" s="787"/>
      <c r="E48" s="817" t="s">
        <v>235</v>
      </c>
      <c r="F48" s="796"/>
      <c r="G48" s="789">
        <f>Begroting!Q109</f>
        <v>0</v>
      </c>
      <c r="H48" s="782" t="s">
        <v>405</v>
      </c>
      <c r="I48" s="809" t="s">
        <v>214</v>
      </c>
      <c r="L48" s="784"/>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786"/>
      <c r="AV48" s="786"/>
      <c r="AW48" s="786"/>
      <c r="AX48" s="786"/>
      <c r="AY48" s="786"/>
      <c r="AZ48" s="786"/>
      <c r="BA48" s="786"/>
      <c r="BB48" s="786"/>
      <c r="BC48" s="786"/>
      <c r="BD48" s="786"/>
      <c r="BE48" s="786"/>
      <c r="BF48" s="786"/>
      <c r="BG48" s="786"/>
      <c r="BH48" s="786"/>
      <c r="BI48" s="786"/>
      <c r="BJ48" s="786"/>
      <c r="BK48" s="786"/>
      <c r="BL48" s="786"/>
      <c r="BM48" s="786"/>
      <c r="BN48" s="786"/>
      <c r="BO48" s="786"/>
      <c r="BP48" s="786"/>
      <c r="BQ48" s="786"/>
      <c r="BR48" s="786"/>
      <c r="BS48" s="786"/>
      <c r="BT48" s="786"/>
      <c r="BU48" s="786"/>
      <c r="BV48" s="786"/>
      <c r="BW48" s="786"/>
    </row>
    <row r="49" spans="1:75" s="782" customFormat="1" ht="11.25" x14ac:dyDescent="0.2">
      <c r="A49" s="787"/>
      <c r="E49" s="818" t="s">
        <v>598</v>
      </c>
      <c r="F49" s="796"/>
      <c r="G49" s="819" t="str">
        <f>IF(SUM(P49:BW49)=1,"WAAR","ONWAAR")</f>
        <v>ONWAAR</v>
      </c>
      <c r="H49" s="820"/>
      <c r="I49" s="821"/>
      <c r="J49" s="820"/>
      <c r="K49" s="820"/>
      <c r="L49" s="822"/>
      <c r="M49" s="820"/>
      <c r="N49" s="820"/>
      <c r="O49" s="823"/>
      <c r="P49" s="824"/>
      <c r="Q49" s="824"/>
      <c r="R49" s="824"/>
      <c r="S49" s="824"/>
      <c r="T49" s="824"/>
      <c r="U49" s="824"/>
      <c r="V49" s="824"/>
      <c r="W49" s="824"/>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25"/>
      <c r="AY49" s="825"/>
      <c r="AZ49" s="825"/>
      <c r="BA49" s="825"/>
      <c r="BB49" s="825"/>
      <c r="BC49" s="825"/>
      <c r="BD49" s="825"/>
      <c r="BE49" s="825"/>
      <c r="BF49" s="825"/>
      <c r="BG49" s="825"/>
      <c r="BH49" s="825"/>
      <c r="BI49" s="825"/>
      <c r="BJ49" s="825"/>
      <c r="BK49" s="825"/>
      <c r="BL49" s="825"/>
      <c r="BM49" s="825"/>
      <c r="BN49" s="825"/>
      <c r="BO49" s="825"/>
      <c r="BP49" s="825"/>
      <c r="BQ49" s="825"/>
      <c r="BR49" s="825"/>
      <c r="BS49" s="825"/>
      <c r="BT49" s="825"/>
      <c r="BU49" s="825"/>
      <c r="BV49" s="825"/>
      <c r="BW49" s="825"/>
    </row>
    <row r="50" spans="1:75" s="782" customFormat="1" ht="14.85" customHeight="1" x14ac:dyDescent="0.2">
      <c r="A50" s="787"/>
      <c r="C50" s="797" t="s">
        <v>234</v>
      </c>
      <c r="E50" s="817"/>
      <c r="F50" s="796"/>
      <c r="I50" s="793"/>
      <c r="L50" s="784"/>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5"/>
      <c r="AY50" s="825"/>
      <c r="AZ50" s="825"/>
      <c r="BA50" s="825"/>
      <c r="BB50" s="825"/>
      <c r="BC50" s="825"/>
      <c r="BD50" s="825"/>
      <c r="BE50" s="825"/>
      <c r="BF50" s="825"/>
      <c r="BG50" s="825"/>
      <c r="BH50" s="825"/>
      <c r="BI50" s="825"/>
      <c r="BJ50" s="825"/>
      <c r="BK50" s="825"/>
      <c r="BL50" s="825"/>
      <c r="BM50" s="825"/>
      <c r="BN50" s="825"/>
      <c r="BO50" s="825"/>
      <c r="BP50" s="825"/>
      <c r="BQ50" s="825"/>
      <c r="BR50" s="825"/>
      <c r="BS50" s="825"/>
      <c r="BT50" s="825"/>
      <c r="BU50" s="825"/>
      <c r="BV50" s="825"/>
      <c r="BW50" s="825"/>
    </row>
    <row r="51" spans="1:75" s="782" customFormat="1" ht="14.85" customHeight="1" x14ac:dyDescent="0.2">
      <c r="A51" s="787"/>
      <c r="E51" s="817" t="s">
        <v>233</v>
      </c>
      <c r="F51" s="796"/>
      <c r="G51" s="789">
        <f>Begroting!Q86</f>
        <v>0</v>
      </c>
      <c r="H51" s="782" t="s">
        <v>405</v>
      </c>
      <c r="I51" s="809" t="s">
        <v>214</v>
      </c>
      <c r="L51" s="784"/>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86"/>
    </row>
    <row r="52" spans="1:75" s="782" customFormat="1" ht="14.85" customHeight="1" x14ac:dyDescent="0.2">
      <c r="A52" s="787"/>
      <c r="E52" s="826" t="s">
        <v>232</v>
      </c>
      <c r="F52" s="796"/>
      <c r="G52" s="789">
        <f>Begroting!D85</f>
        <v>0</v>
      </c>
      <c r="H52" s="782" t="s">
        <v>231</v>
      </c>
      <c r="I52" s="809"/>
      <c r="L52" s="784"/>
      <c r="X52" s="786"/>
      <c r="Y52" s="786"/>
      <c r="Z52" s="786"/>
      <c r="AA52" s="786"/>
      <c r="AB52" s="786"/>
      <c r="AC52" s="786"/>
      <c r="AD52" s="786"/>
      <c r="AE52" s="786"/>
      <c r="AF52" s="786"/>
      <c r="AG52" s="786"/>
      <c r="AH52" s="786"/>
      <c r="AI52" s="786"/>
      <c r="AJ52" s="786"/>
      <c r="AK52" s="786"/>
      <c r="AL52" s="786"/>
      <c r="AM52" s="786"/>
      <c r="AN52" s="786"/>
      <c r="AO52" s="786"/>
      <c r="AP52" s="786"/>
      <c r="AQ52" s="786"/>
      <c r="AR52" s="786"/>
      <c r="AS52" s="786"/>
      <c r="AT52" s="786"/>
      <c r="AU52" s="786"/>
      <c r="AV52" s="786"/>
      <c r="AW52" s="786"/>
      <c r="AX52" s="786"/>
      <c r="AY52" s="786"/>
      <c r="AZ52" s="786"/>
      <c r="BA52" s="786"/>
      <c r="BB52" s="786"/>
      <c r="BC52" s="786"/>
      <c r="BD52" s="786"/>
      <c r="BE52" s="786"/>
      <c r="BF52" s="786"/>
      <c r="BG52" s="786"/>
      <c r="BH52" s="786"/>
      <c r="BI52" s="786"/>
      <c r="BJ52" s="786"/>
      <c r="BK52" s="786"/>
      <c r="BL52" s="786"/>
      <c r="BM52" s="786"/>
      <c r="BN52" s="786"/>
      <c r="BO52" s="786"/>
      <c r="BP52" s="786"/>
      <c r="BQ52" s="786"/>
      <c r="BR52" s="786"/>
      <c r="BS52" s="786"/>
      <c r="BT52" s="786"/>
      <c r="BU52" s="786"/>
      <c r="BV52" s="786"/>
      <c r="BW52" s="786"/>
    </row>
    <row r="53" spans="1:75" s="782" customFormat="1" ht="14.85" customHeight="1" x14ac:dyDescent="0.2">
      <c r="A53" s="787"/>
      <c r="E53" s="818" t="s">
        <v>599</v>
      </c>
      <c r="F53" s="796"/>
      <c r="G53" s="819" t="str">
        <f>IF(SUM(P53:BW53)=1,"WAAR","ONWAAR")</f>
        <v>ONWAAR</v>
      </c>
      <c r="H53" s="820"/>
      <c r="I53" s="821"/>
      <c r="J53" s="820"/>
      <c r="K53" s="820"/>
      <c r="L53" s="822"/>
      <c r="M53" s="820"/>
      <c r="N53" s="820"/>
      <c r="O53" s="823"/>
      <c r="P53" s="824"/>
      <c r="Q53" s="824"/>
      <c r="R53" s="824"/>
      <c r="S53" s="824"/>
      <c r="T53" s="824"/>
      <c r="U53" s="824"/>
      <c r="V53" s="824"/>
      <c r="W53" s="824"/>
      <c r="X53" s="825"/>
      <c r="Y53" s="825"/>
      <c r="Z53" s="825"/>
      <c r="AA53" s="825"/>
      <c r="AB53" s="825"/>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25"/>
      <c r="AY53" s="825"/>
      <c r="AZ53" s="825"/>
      <c r="BA53" s="825"/>
      <c r="BB53" s="825"/>
      <c r="BC53" s="825"/>
      <c r="BD53" s="825"/>
      <c r="BE53" s="825"/>
      <c r="BF53" s="825"/>
      <c r="BG53" s="825"/>
      <c r="BH53" s="825"/>
      <c r="BI53" s="825"/>
      <c r="BJ53" s="825"/>
      <c r="BK53" s="825"/>
      <c r="BL53" s="825"/>
      <c r="BM53" s="825"/>
      <c r="BN53" s="825"/>
      <c r="BO53" s="825"/>
      <c r="BP53" s="825"/>
      <c r="BQ53" s="825"/>
      <c r="BR53" s="825"/>
      <c r="BS53" s="825"/>
      <c r="BT53" s="825"/>
      <c r="BU53" s="825"/>
      <c r="BV53" s="825"/>
      <c r="BW53" s="825"/>
    </row>
    <row r="54" spans="1:75" s="782" customFormat="1" ht="14.85" customHeight="1" x14ac:dyDescent="0.2">
      <c r="A54" s="787"/>
      <c r="C54" s="792" t="s">
        <v>230</v>
      </c>
      <c r="F54" s="796"/>
      <c r="I54" s="793"/>
      <c r="L54" s="784"/>
    </row>
    <row r="55" spans="1:75" s="782" customFormat="1" ht="14.85" customHeight="1" x14ac:dyDescent="0.15">
      <c r="A55" s="787"/>
      <c r="E55" s="827" t="s">
        <v>229</v>
      </c>
      <c r="F55" s="796"/>
      <c r="G55" s="789">
        <f>Begroting!F130</f>
        <v>0</v>
      </c>
      <c r="H55" s="782" t="s">
        <v>227</v>
      </c>
      <c r="I55" s="809" t="s">
        <v>214</v>
      </c>
      <c r="L55" s="784"/>
    </row>
    <row r="56" spans="1:75" s="782" customFormat="1" ht="14.85" customHeight="1" x14ac:dyDescent="0.15">
      <c r="A56" s="787"/>
      <c r="E56" s="827" t="s">
        <v>228</v>
      </c>
      <c r="F56" s="796"/>
      <c r="G56" s="789">
        <f>Begroting!F131</f>
        <v>0</v>
      </c>
      <c r="H56" s="782" t="s">
        <v>227</v>
      </c>
      <c r="I56" s="809" t="s">
        <v>214</v>
      </c>
      <c r="L56" s="784"/>
      <c r="R56" s="828"/>
    </row>
    <row r="57" spans="1:75" s="782" customFormat="1" ht="14.85" customHeight="1" x14ac:dyDescent="0.15">
      <c r="A57" s="787"/>
      <c r="E57" s="827" t="s">
        <v>601</v>
      </c>
      <c r="F57" s="796"/>
      <c r="G57" s="789">
        <f>Begroting!G132</f>
        <v>0</v>
      </c>
      <c r="H57" s="782" t="s">
        <v>227</v>
      </c>
      <c r="I57" s="809" t="s">
        <v>214</v>
      </c>
      <c r="L57" s="784"/>
      <c r="R57" s="828"/>
    </row>
    <row r="58" spans="1:75" s="782" customFormat="1" ht="14.85" customHeight="1" x14ac:dyDescent="0.15">
      <c r="A58" s="787"/>
      <c r="E58" s="853" t="s">
        <v>408</v>
      </c>
      <c r="F58" s="854"/>
      <c r="G58" s="855"/>
      <c r="H58" s="856" t="s">
        <v>227</v>
      </c>
      <c r="I58" s="857" t="s">
        <v>214</v>
      </c>
      <c r="L58" s="784"/>
      <c r="R58" s="828"/>
    </row>
    <row r="59" spans="1:75" s="782" customFormat="1" ht="14.85" customHeight="1" x14ac:dyDescent="0.2">
      <c r="A59" s="787"/>
      <c r="C59" s="792" t="s">
        <v>226</v>
      </c>
      <c r="F59" s="796"/>
      <c r="I59" s="793"/>
      <c r="L59" s="784"/>
      <c r="R59" s="828"/>
    </row>
    <row r="60" spans="1:75" s="782" customFormat="1" ht="14.85" customHeight="1" x14ac:dyDescent="0.15">
      <c r="A60" s="787"/>
      <c r="E60" s="827" t="s">
        <v>406</v>
      </c>
      <c r="F60" s="796"/>
      <c r="G60" s="789">
        <f>Begroting!Q41+Begroting!Q147</f>
        <v>0</v>
      </c>
      <c r="H60" s="782" t="s">
        <v>405</v>
      </c>
      <c r="I60" s="809" t="s">
        <v>214</v>
      </c>
      <c r="L60" s="784"/>
      <c r="R60" s="828"/>
    </row>
    <row r="61" spans="1:75" s="782" customFormat="1" ht="14.85" customHeight="1" x14ac:dyDescent="0.2">
      <c r="A61" s="787"/>
      <c r="E61" s="818" t="s">
        <v>600</v>
      </c>
      <c r="F61" s="796"/>
      <c r="G61" s="819" t="str">
        <f>IF(SUM(P61:BW61)=1,"WAAR","ONWAAR")</f>
        <v>ONWAAR</v>
      </c>
      <c r="H61" s="820"/>
      <c r="I61" s="821"/>
      <c r="J61" s="820"/>
      <c r="K61" s="820"/>
      <c r="L61" s="822"/>
      <c r="M61" s="820"/>
      <c r="N61" s="820"/>
      <c r="O61" s="823"/>
      <c r="P61" s="824"/>
      <c r="Q61" s="824"/>
      <c r="R61" s="824"/>
      <c r="S61" s="824"/>
      <c r="T61" s="824"/>
      <c r="U61" s="824"/>
      <c r="V61" s="824"/>
      <c r="W61" s="824"/>
      <c r="X61" s="825"/>
      <c r="Y61" s="825"/>
      <c r="Z61" s="825"/>
      <c r="AA61" s="825"/>
      <c r="AB61" s="825"/>
      <c r="AC61" s="825"/>
      <c r="AD61" s="825"/>
      <c r="AE61" s="825"/>
      <c r="AF61" s="825"/>
      <c r="AG61" s="825"/>
      <c r="AH61" s="825"/>
      <c r="AI61" s="825"/>
      <c r="AJ61" s="825"/>
      <c r="AK61" s="825"/>
      <c r="AL61" s="825"/>
      <c r="AM61" s="825"/>
      <c r="AN61" s="825"/>
      <c r="AO61" s="825"/>
      <c r="AP61" s="825"/>
      <c r="AQ61" s="825"/>
      <c r="AR61" s="825"/>
      <c r="AS61" s="825"/>
      <c r="AT61" s="825"/>
      <c r="AU61" s="825"/>
      <c r="AV61" s="825"/>
      <c r="AW61" s="825"/>
      <c r="AX61" s="825"/>
      <c r="AY61" s="825"/>
      <c r="AZ61" s="825"/>
      <c r="BA61" s="825"/>
      <c r="BB61" s="825"/>
      <c r="BC61" s="825"/>
      <c r="BD61" s="825"/>
      <c r="BE61" s="825"/>
      <c r="BF61" s="825"/>
      <c r="BG61" s="825"/>
      <c r="BH61" s="825"/>
      <c r="BI61" s="825"/>
      <c r="BJ61" s="825"/>
      <c r="BK61" s="825"/>
      <c r="BL61" s="825"/>
      <c r="BM61" s="825"/>
      <c r="BN61" s="825"/>
      <c r="BO61" s="825"/>
      <c r="BP61" s="825"/>
      <c r="BQ61" s="825"/>
      <c r="BR61" s="825"/>
      <c r="BS61" s="825"/>
      <c r="BT61" s="825"/>
      <c r="BU61" s="825"/>
      <c r="BV61" s="825"/>
      <c r="BW61" s="825"/>
    </row>
    <row r="62" spans="1:75" s="782" customFormat="1" ht="14.85" customHeight="1" x14ac:dyDescent="0.15">
      <c r="A62" s="787"/>
      <c r="C62" s="829"/>
      <c r="F62" s="796"/>
      <c r="I62" s="793"/>
      <c r="L62" s="784"/>
      <c r="R62" s="828"/>
    </row>
    <row r="63" spans="1:75" s="782" customFormat="1" ht="14.85" customHeight="1" x14ac:dyDescent="0.2">
      <c r="A63" s="787"/>
      <c r="B63" s="806" t="s">
        <v>225</v>
      </c>
      <c r="C63" s="815"/>
      <c r="D63" s="815"/>
      <c r="E63" s="815"/>
      <c r="F63" s="800"/>
      <c r="G63" s="806" t="s">
        <v>207</v>
      </c>
      <c r="H63" s="806" t="s">
        <v>206</v>
      </c>
      <c r="I63" s="923" t="s">
        <v>212</v>
      </c>
      <c r="J63" s="806"/>
      <c r="K63" s="806"/>
      <c r="L63" s="784"/>
      <c r="R63" s="828"/>
    </row>
    <row r="64" spans="1:75" s="782" customFormat="1" ht="14.85" customHeight="1" x14ac:dyDescent="0.2">
      <c r="A64" s="787"/>
      <c r="C64" s="792" t="s">
        <v>224</v>
      </c>
      <c r="E64" s="830"/>
      <c r="F64" s="796"/>
      <c r="I64" s="793"/>
      <c r="L64" s="784"/>
    </row>
    <row r="65" spans="1:139" s="782" customFormat="1" ht="14.85" customHeight="1" x14ac:dyDescent="0.2">
      <c r="A65" s="787"/>
      <c r="E65" s="831" t="s">
        <v>223</v>
      </c>
      <c r="F65" s="832"/>
      <c r="G65" s="801">
        <v>0.01</v>
      </c>
      <c r="H65" s="782" t="s">
        <v>218</v>
      </c>
      <c r="I65" s="809" t="s">
        <v>214</v>
      </c>
      <c r="L65" s="784"/>
    </row>
    <row r="66" spans="1:139" s="782" customFormat="1" ht="14.85" customHeight="1" x14ac:dyDescent="0.2">
      <c r="A66" s="787"/>
      <c r="C66" s="792" t="s">
        <v>222</v>
      </c>
      <c r="E66" s="833"/>
      <c r="F66" s="834"/>
      <c r="G66" s="833"/>
      <c r="I66" s="793"/>
      <c r="L66" s="784"/>
    </row>
    <row r="67" spans="1:139" s="782" customFormat="1" ht="14.85" customHeight="1" x14ac:dyDescent="0.2">
      <c r="A67" s="787"/>
      <c r="E67" s="831" t="s">
        <v>221</v>
      </c>
      <c r="F67" s="832"/>
      <c r="G67" s="801">
        <v>0.03</v>
      </c>
      <c r="H67" s="782" t="s">
        <v>218</v>
      </c>
      <c r="I67" s="809" t="s">
        <v>214</v>
      </c>
      <c r="L67" s="784"/>
    </row>
    <row r="68" spans="1:139" s="782" customFormat="1" ht="14.85" customHeight="1" x14ac:dyDescent="0.2">
      <c r="A68" s="787"/>
      <c r="C68" s="792" t="s">
        <v>220</v>
      </c>
      <c r="E68" s="830"/>
      <c r="F68" s="796"/>
      <c r="I68" s="793"/>
      <c r="L68" s="784"/>
    </row>
    <row r="69" spans="1:139" s="782" customFormat="1" ht="14.85" customHeight="1" x14ac:dyDescent="0.15">
      <c r="A69" s="787"/>
      <c r="E69" s="827" t="s">
        <v>219</v>
      </c>
      <c r="F69" s="835"/>
      <c r="G69" s="801">
        <v>2.5000000000000001E-2</v>
      </c>
      <c r="H69" s="782" t="s">
        <v>218</v>
      </c>
      <c r="I69" s="809" t="s">
        <v>214</v>
      </c>
      <c r="L69" s="784"/>
    </row>
    <row r="70" spans="1:139" s="782" customFormat="1" ht="14.85" customHeight="1" x14ac:dyDescent="0.15">
      <c r="A70" s="787"/>
      <c r="C70" s="792" t="s">
        <v>217</v>
      </c>
      <c r="F70" s="835"/>
      <c r="I70" s="793"/>
      <c r="L70" s="784"/>
    </row>
    <row r="71" spans="1:139" s="782" customFormat="1" ht="14.85" customHeight="1" x14ac:dyDescent="0.15">
      <c r="A71" s="787"/>
      <c r="E71" s="836" t="s">
        <v>216</v>
      </c>
      <c r="F71" s="835"/>
      <c r="G71" s="837">
        <v>70</v>
      </c>
      <c r="H71" s="838" t="s">
        <v>215</v>
      </c>
      <c r="I71" s="809" t="s">
        <v>214</v>
      </c>
      <c r="L71" s="784"/>
    </row>
    <row r="72" spans="1:139" s="782" customFormat="1" ht="14.85" customHeight="1" x14ac:dyDescent="0.2">
      <c r="A72" s="785"/>
      <c r="B72" s="783"/>
      <c r="C72" s="783"/>
      <c r="D72" s="783"/>
      <c r="E72" s="783"/>
      <c r="F72" s="839"/>
      <c r="G72" s="783"/>
      <c r="H72" s="783"/>
      <c r="I72" s="840"/>
      <c r="J72" s="783"/>
      <c r="K72" s="783"/>
      <c r="L72" s="784"/>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3"/>
      <c r="BB72" s="783"/>
      <c r="BC72" s="783"/>
      <c r="BD72" s="783"/>
      <c r="BE72" s="783"/>
      <c r="BF72" s="783"/>
      <c r="BG72" s="783"/>
      <c r="BH72" s="783"/>
      <c r="BI72" s="783"/>
      <c r="BJ72" s="783"/>
      <c r="BK72" s="783"/>
      <c r="BL72" s="783"/>
      <c r="BM72" s="783"/>
      <c r="BN72" s="783"/>
      <c r="BO72" s="783"/>
      <c r="BP72" s="783"/>
      <c r="BQ72" s="783"/>
      <c r="BR72" s="783"/>
      <c r="BS72" s="783"/>
      <c r="BT72" s="783"/>
      <c r="BU72" s="783"/>
      <c r="BV72" s="783"/>
      <c r="BW72" s="783"/>
      <c r="BX72" s="783"/>
      <c r="BY72" s="783"/>
      <c r="BZ72" s="783"/>
      <c r="CA72" s="783"/>
      <c r="CB72" s="783"/>
      <c r="CC72" s="783"/>
      <c r="CD72" s="783"/>
      <c r="CE72" s="783"/>
      <c r="CF72" s="783"/>
      <c r="CG72" s="783"/>
      <c r="CH72" s="783"/>
      <c r="CI72" s="783"/>
      <c r="CJ72" s="783"/>
      <c r="CK72" s="783"/>
      <c r="CL72" s="783"/>
      <c r="CM72" s="783"/>
      <c r="CN72" s="783"/>
      <c r="CO72" s="783"/>
      <c r="CP72" s="783"/>
      <c r="CQ72" s="783"/>
      <c r="CR72" s="783"/>
      <c r="CS72" s="783"/>
      <c r="CT72" s="783"/>
      <c r="CU72" s="783"/>
      <c r="CV72" s="783"/>
      <c r="CW72" s="783"/>
      <c r="CX72" s="783"/>
      <c r="CY72" s="783"/>
      <c r="CZ72" s="783"/>
      <c r="DA72" s="783"/>
      <c r="DB72" s="783"/>
      <c r="DC72" s="783"/>
      <c r="DD72" s="783"/>
      <c r="DE72" s="783"/>
      <c r="DF72" s="783"/>
      <c r="DG72" s="783"/>
      <c r="DH72" s="783"/>
      <c r="DI72" s="783"/>
      <c r="DJ72" s="783"/>
      <c r="DK72" s="783"/>
      <c r="DL72" s="783"/>
      <c r="DM72" s="783"/>
      <c r="DN72" s="783"/>
      <c r="DO72" s="783"/>
      <c r="DP72" s="783"/>
      <c r="DQ72" s="783"/>
      <c r="DR72" s="783"/>
      <c r="DS72" s="783"/>
      <c r="DT72" s="783"/>
      <c r="DU72" s="783"/>
      <c r="DV72" s="783"/>
      <c r="DW72" s="783"/>
      <c r="DX72" s="783"/>
      <c r="DY72" s="783"/>
      <c r="DZ72" s="783"/>
      <c r="EA72" s="783"/>
      <c r="EB72" s="783"/>
      <c r="EC72" s="783"/>
      <c r="ED72" s="783"/>
      <c r="EE72" s="783"/>
      <c r="EF72" s="783"/>
      <c r="EG72" s="783"/>
      <c r="EH72" s="783"/>
      <c r="EI72" s="783"/>
    </row>
    <row r="73" spans="1:139" s="783" customFormat="1" ht="14.85" customHeight="1" x14ac:dyDescent="0.2">
      <c r="A73" s="786"/>
      <c r="F73" s="839"/>
      <c r="I73" s="840"/>
      <c r="L73" s="784"/>
    </row>
    <row r="74" spans="1:139" s="782" customFormat="1" ht="14.85" customHeight="1" x14ac:dyDescent="0.2">
      <c r="A74" s="787"/>
      <c r="B74" s="806" t="s">
        <v>213</v>
      </c>
      <c r="C74" s="815"/>
      <c r="D74" s="815"/>
      <c r="E74" s="815"/>
      <c r="F74" s="800"/>
      <c r="G74" s="806" t="s">
        <v>207</v>
      </c>
      <c r="H74" s="806" t="s">
        <v>206</v>
      </c>
      <c r="I74" s="923" t="s">
        <v>212</v>
      </c>
      <c r="J74" s="806"/>
      <c r="K74" s="806"/>
      <c r="L74" s="784"/>
      <c r="P74" s="791">
        <f t="shared" ref="P74:AU74" si="3">P22</f>
        <v>1900</v>
      </c>
      <c r="Q74" s="791">
        <f t="shared" si="3"/>
        <v>1901</v>
      </c>
      <c r="R74" s="791">
        <f t="shared" si="3"/>
        <v>1902</v>
      </c>
      <c r="S74" s="791">
        <f t="shared" si="3"/>
        <v>1903</v>
      </c>
      <c r="T74" s="791">
        <f t="shared" si="3"/>
        <v>1904</v>
      </c>
      <c r="U74" s="791">
        <f t="shared" si="3"/>
        <v>1905</v>
      </c>
      <c r="V74" s="791">
        <f t="shared" si="3"/>
        <v>1906</v>
      </c>
      <c r="W74" s="791">
        <f t="shared" si="3"/>
        <v>1907</v>
      </c>
      <c r="X74" s="791">
        <f t="shared" si="3"/>
        <v>1908</v>
      </c>
      <c r="Y74" s="791">
        <f t="shared" si="3"/>
        <v>1909</v>
      </c>
      <c r="Z74" s="791">
        <f t="shared" si="3"/>
        <v>1910</v>
      </c>
      <c r="AA74" s="791">
        <f t="shared" si="3"/>
        <v>1911</v>
      </c>
      <c r="AB74" s="791">
        <f t="shared" si="3"/>
        <v>1912</v>
      </c>
      <c r="AC74" s="791">
        <f t="shared" si="3"/>
        <v>1913</v>
      </c>
      <c r="AD74" s="791">
        <f t="shared" si="3"/>
        <v>1914</v>
      </c>
      <c r="AE74" s="791">
        <f t="shared" si="3"/>
        <v>1915</v>
      </c>
      <c r="AF74" s="791">
        <f t="shared" si="3"/>
        <v>1916</v>
      </c>
      <c r="AG74" s="791">
        <f t="shared" si="3"/>
        <v>1917</v>
      </c>
      <c r="AH74" s="791">
        <f t="shared" si="3"/>
        <v>1918</v>
      </c>
      <c r="AI74" s="791">
        <f t="shared" si="3"/>
        <v>1919</v>
      </c>
      <c r="AJ74" s="791">
        <f t="shared" si="3"/>
        <v>1920</v>
      </c>
      <c r="AK74" s="791">
        <f t="shared" si="3"/>
        <v>1921</v>
      </c>
      <c r="AL74" s="791">
        <f t="shared" si="3"/>
        <v>1922</v>
      </c>
      <c r="AM74" s="791">
        <f t="shared" si="3"/>
        <v>1923</v>
      </c>
      <c r="AN74" s="791">
        <f t="shared" si="3"/>
        <v>1924</v>
      </c>
      <c r="AO74" s="791">
        <f t="shared" si="3"/>
        <v>1925</v>
      </c>
      <c r="AP74" s="791">
        <f t="shared" si="3"/>
        <v>1926</v>
      </c>
      <c r="AQ74" s="791">
        <f t="shared" si="3"/>
        <v>1927</v>
      </c>
      <c r="AR74" s="791">
        <f t="shared" si="3"/>
        <v>1928</v>
      </c>
      <c r="AS74" s="791">
        <f t="shared" si="3"/>
        <v>1929</v>
      </c>
      <c r="AT74" s="791">
        <f t="shared" si="3"/>
        <v>1930</v>
      </c>
      <c r="AU74" s="791">
        <f t="shared" si="3"/>
        <v>1931</v>
      </c>
      <c r="AV74" s="791">
        <f t="shared" ref="AV74:BW74" si="4">AV22</f>
        <v>1932</v>
      </c>
      <c r="AW74" s="791">
        <f t="shared" si="4"/>
        <v>1933</v>
      </c>
      <c r="AX74" s="791">
        <f t="shared" si="4"/>
        <v>1934</v>
      </c>
      <c r="AY74" s="791">
        <f t="shared" si="4"/>
        <v>1935</v>
      </c>
      <c r="AZ74" s="791">
        <f t="shared" si="4"/>
        <v>1936</v>
      </c>
      <c r="BA74" s="791">
        <f t="shared" si="4"/>
        <v>1937</v>
      </c>
      <c r="BB74" s="791">
        <f t="shared" si="4"/>
        <v>1938</v>
      </c>
      <c r="BC74" s="791">
        <f t="shared" si="4"/>
        <v>1939</v>
      </c>
      <c r="BD74" s="791">
        <f t="shared" si="4"/>
        <v>1940</v>
      </c>
      <c r="BE74" s="791">
        <f t="shared" si="4"/>
        <v>1941</v>
      </c>
      <c r="BF74" s="791">
        <f t="shared" si="4"/>
        <v>1942</v>
      </c>
      <c r="BG74" s="791">
        <f t="shared" si="4"/>
        <v>1943</v>
      </c>
      <c r="BH74" s="791">
        <f t="shared" si="4"/>
        <v>1944</v>
      </c>
      <c r="BI74" s="791">
        <f t="shared" si="4"/>
        <v>1945</v>
      </c>
      <c r="BJ74" s="791">
        <f t="shared" si="4"/>
        <v>1946</v>
      </c>
      <c r="BK74" s="791">
        <f t="shared" si="4"/>
        <v>1947</v>
      </c>
      <c r="BL74" s="791">
        <f t="shared" si="4"/>
        <v>1948</v>
      </c>
      <c r="BM74" s="791">
        <f t="shared" si="4"/>
        <v>1949</v>
      </c>
      <c r="BN74" s="791">
        <f t="shared" si="4"/>
        <v>1950</v>
      </c>
      <c r="BO74" s="791">
        <f t="shared" si="4"/>
        <v>1951</v>
      </c>
      <c r="BP74" s="791">
        <f t="shared" si="4"/>
        <v>1952</v>
      </c>
      <c r="BQ74" s="791">
        <f t="shared" si="4"/>
        <v>1953</v>
      </c>
      <c r="BR74" s="791">
        <f t="shared" si="4"/>
        <v>1954</v>
      </c>
      <c r="BS74" s="791">
        <f t="shared" si="4"/>
        <v>1955</v>
      </c>
      <c r="BT74" s="791">
        <f t="shared" si="4"/>
        <v>1956</v>
      </c>
      <c r="BU74" s="791">
        <f t="shared" si="4"/>
        <v>1957</v>
      </c>
      <c r="BV74" s="791">
        <f t="shared" si="4"/>
        <v>1958</v>
      </c>
      <c r="BW74" s="791">
        <f t="shared" si="4"/>
        <v>1959</v>
      </c>
    </row>
    <row r="75" spans="1:139" s="782" customFormat="1" ht="14.85" customHeight="1" x14ac:dyDescent="0.2">
      <c r="A75" s="787"/>
      <c r="C75" s="792" t="s">
        <v>211</v>
      </c>
      <c r="E75" s="783"/>
      <c r="F75" s="839"/>
      <c r="G75" s="783"/>
      <c r="H75" s="783"/>
      <c r="I75" s="841" t="s">
        <v>210</v>
      </c>
      <c r="L75" s="784"/>
    </row>
    <row r="76" spans="1:139" s="782" customFormat="1" ht="14.85" customHeight="1" x14ac:dyDescent="0.2">
      <c r="A76" s="787"/>
      <c r="C76" s="792"/>
      <c r="E76" s="783" t="s">
        <v>209</v>
      </c>
      <c r="F76" s="839"/>
      <c r="G76" s="842">
        <v>0</v>
      </c>
      <c r="H76" s="782" t="s">
        <v>208</v>
      </c>
      <c r="I76" s="843" t="e">
        <f>VLOOKUP(G20,ORT_Lijsten!$B$2:$H$4,7)</f>
        <v>#N/A</v>
      </c>
      <c r="L76" s="784"/>
    </row>
    <row r="77" spans="1:139" s="782" customFormat="1" ht="14.85" customHeight="1" x14ac:dyDescent="0.2">
      <c r="A77" s="787"/>
      <c r="C77" s="792"/>
      <c r="E77" s="844" t="e">
        <f>IF(AND(G76&gt;9,I76=9),"WAARDE IS HOGER DAN DE DEFAULT WAARDE VOOR ZLT-BRONKOSTEN; NADER ONDERBOUWEN IN PROJECTPLAN",IF(AND(I76=0,G76&gt;0),"VOOR HT/MT/LT-NETTEN WORDT GEREKEND MET EEN VASTE MARGE EN WORDEN GEEN BRONKOSTEN OPGEVOERD",""))</f>
        <v>#N/A</v>
      </c>
      <c r="F77" s="839"/>
      <c r="I77" s="793"/>
      <c r="L77" s="784"/>
    </row>
    <row r="78" spans="1:139" s="782" customFormat="1" ht="14.85" customHeight="1" x14ac:dyDescent="0.2">
      <c r="A78" s="787"/>
      <c r="E78" s="783"/>
      <c r="F78" s="839"/>
      <c r="G78" s="783"/>
      <c r="H78" s="783"/>
      <c r="I78" s="793"/>
      <c r="L78" s="784"/>
    </row>
    <row r="79" spans="1:139" s="782" customFormat="1" ht="14.85" customHeight="1" x14ac:dyDescent="0.2">
      <c r="A79" s="787"/>
      <c r="B79" s="806" t="s">
        <v>205</v>
      </c>
      <c r="C79" s="815"/>
      <c r="D79" s="815"/>
      <c r="E79" s="815"/>
      <c r="F79" s="800"/>
      <c r="G79" s="806" t="s">
        <v>207</v>
      </c>
      <c r="H79" s="806" t="s">
        <v>206</v>
      </c>
      <c r="I79" s="790"/>
      <c r="J79" s="788"/>
      <c r="K79" s="806"/>
      <c r="L79" s="784"/>
      <c r="P79" s="791">
        <f t="shared" ref="P79:AU79" si="5">P22</f>
        <v>1900</v>
      </c>
      <c r="Q79" s="791">
        <f t="shared" si="5"/>
        <v>1901</v>
      </c>
      <c r="R79" s="791">
        <f t="shared" si="5"/>
        <v>1902</v>
      </c>
      <c r="S79" s="791">
        <f t="shared" si="5"/>
        <v>1903</v>
      </c>
      <c r="T79" s="791">
        <f t="shared" si="5"/>
        <v>1904</v>
      </c>
      <c r="U79" s="791">
        <f t="shared" si="5"/>
        <v>1905</v>
      </c>
      <c r="V79" s="791">
        <f t="shared" si="5"/>
        <v>1906</v>
      </c>
      <c r="W79" s="791">
        <f t="shared" si="5"/>
        <v>1907</v>
      </c>
      <c r="X79" s="791">
        <f t="shared" si="5"/>
        <v>1908</v>
      </c>
      <c r="Y79" s="791">
        <f t="shared" si="5"/>
        <v>1909</v>
      </c>
      <c r="Z79" s="791">
        <f t="shared" si="5"/>
        <v>1910</v>
      </c>
      <c r="AA79" s="791">
        <f t="shared" si="5"/>
        <v>1911</v>
      </c>
      <c r="AB79" s="791">
        <f t="shared" si="5"/>
        <v>1912</v>
      </c>
      <c r="AC79" s="791">
        <f t="shared" si="5"/>
        <v>1913</v>
      </c>
      <c r="AD79" s="791">
        <f t="shared" si="5"/>
        <v>1914</v>
      </c>
      <c r="AE79" s="791">
        <f t="shared" si="5"/>
        <v>1915</v>
      </c>
      <c r="AF79" s="791">
        <f t="shared" si="5"/>
        <v>1916</v>
      </c>
      <c r="AG79" s="791">
        <f t="shared" si="5"/>
        <v>1917</v>
      </c>
      <c r="AH79" s="791">
        <f t="shared" si="5"/>
        <v>1918</v>
      </c>
      <c r="AI79" s="791">
        <f t="shared" si="5"/>
        <v>1919</v>
      </c>
      <c r="AJ79" s="791">
        <f t="shared" si="5"/>
        <v>1920</v>
      </c>
      <c r="AK79" s="791">
        <f t="shared" si="5"/>
        <v>1921</v>
      </c>
      <c r="AL79" s="791">
        <f t="shared" si="5"/>
        <v>1922</v>
      </c>
      <c r="AM79" s="791">
        <f t="shared" si="5"/>
        <v>1923</v>
      </c>
      <c r="AN79" s="791">
        <f t="shared" si="5"/>
        <v>1924</v>
      </c>
      <c r="AO79" s="791">
        <f t="shared" si="5"/>
        <v>1925</v>
      </c>
      <c r="AP79" s="791">
        <f t="shared" si="5"/>
        <v>1926</v>
      </c>
      <c r="AQ79" s="791">
        <f t="shared" si="5"/>
        <v>1927</v>
      </c>
      <c r="AR79" s="791">
        <f t="shared" si="5"/>
        <v>1928</v>
      </c>
      <c r="AS79" s="791">
        <f t="shared" si="5"/>
        <v>1929</v>
      </c>
      <c r="AT79" s="791">
        <f t="shared" si="5"/>
        <v>1930</v>
      </c>
      <c r="AU79" s="791">
        <f t="shared" si="5"/>
        <v>1931</v>
      </c>
      <c r="AV79" s="791">
        <f t="shared" ref="AV79:BW79" si="6">AV22</f>
        <v>1932</v>
      </c>
      <c r="AW79" s="791">
        <f t="shared" si="6"/>
        <v>1933</v>
      </c>
      <c r="AX79" s="791">
        <f t="shared" si="6"/>
        <v>1934</v>
      </c>
      <c r="AY79" s="791">
        <f t="shared" si="6"/>
        <v>1935</v>
      </c>
      <c r="AZ79" s="791">
        <f t="shared" si="6"/>
        <v>1936</v>
      </c>
      <c r="BA79" s="791">
        <f t="shared" si="6"/>
        <v>1937</v>
      </c>
      <c r="BB79" s="791">
        <f t="shared" si="6"/>
        <v>1938</v>
      </c>
      <c r="BC79" s="791">
        <f t="shared" si="6"/>
        <v>1939</v>
      </c>
      <c r="BD79" s="791">
        <f t="shared" si="6"/>
        <v>1940</v>
      </c>
      <c r="BE79" s="791">
        <f t="shared" si="6"/>
        <v>1941</v>
      </c>
      <c r="BF79" s="791">
        <f t="shared" si="6"/>
        <v>1942</v>
      </c>
      <c r="BG79" s="791">
        <f t="shared" si="6"/>
        <v>1943</v>
      </c>
      <c r="BH79" s="791">
        <f t="shared" si="6"/>
        <v>1944</v>
      </c>
      <c r="BI79" s="791">
        <f t="shared" si="6"/>
        <v>1945</v>
      </c>
      <c r="BJ79" s="791">
        <f t="shared" si="6"/>
        <v>1946</v>
      </c>
      <c r="BK79" s="791">
        <f t="shared" si="6"/>
        <v>1947</v>
      </c>
      <c r="BL79" s="791">
        <f t="shared" si="6"/>
        <v>1948</v>
      </c>
      <c r="BM79" s="791">
        <f t="shared" si="6"/>
        <v>1949</v>
      </c>
      <c r="BN79" s="791">
        <f t="shared" si="6"/>
        <v>1950</v>
      </c>
      <c r="BO79" s="791">
        <f t="shared" si="6"/>
        <v>1951</v>
      </c>
      <c r="BP79" s="791">
        <f t="shared" si="6"/>
        <v>1952</v>
      </c>
      <c r="BQ79" s="791">
        <f t="shared" si="6"/>
        <v>1953</v>
      </c>
      <c r="BR79" s="791">
        <f t="shared" si="6"/>
        <v>1954</v>
      </c>
      <c r="BS79" s="791">
        <f t="shared" si="6"/>
        <v>1955</v>
      </c>
      <c r="BT79" s="791">
        <f t="shared" si="6"/>
        <v>1956</v>
      </c>
      <c r="BU79" s="791">
        <f t="shared" si="6"/>
        <v>1957</v>
      </c>
      <c r="BV79" s="791">
        <f t="shared" si="6"/>
        <v>1958</v>
      </c>
      <c r="BW79" s="791">
        <f t="shared" si="6"/>
        <v>1959</v>
      </c>
    </row>
    <row r="80" spans="1:139" s="786" customFormat="1" ht="14.85" customHeight="1" x14ac:dyDescent="0.2">
      <c r="F80" s="807"/>
      <c r="I80" s="798"/>
      <c r="L80" s="784"/>
      <c r="P80" s="845">
        <v>1</v>
      </c>
      <c r="Q80" s="845">
        <f t="shared" ref="Q80:AV80" si="7" xml:space="preserve"> P80 + 1</f>
        <v>2</v>
      </c>
      <c r="R80" s="845">
        <f t="shared" si="7"/>
        <v>3</v>
      </c>
      <c r="S80" s="845">
        <f t="shared" si="7"/>
        <v>4</v>
      </c>
      <c r="T80" s="845">
        <f t="shared" si="7"/>
        <v>5</v>
      </c>
      <c r="U80" s="845">
        <f t="shared" si="7"/>
        <v>6</v>
      </c>
      <c r="V80" s="845">
        <f t="shared" si="7"/>
        <v>7</v>
      </c>
      <c r="W80" s="845">
        <f t="shared" si="7"/>
        <v>8</v>
      </c>
      <c r="X80" s="845">
        <f t="shared" si="7"/>
        <v>9</v>
      </c>
      <c r="Y80" s="845">
        <f t="shared" si="7"/>
        <v>10</v>
      </c>
      <c r="Z80" s="845">
        <f t="shared" si="7"/>
        <v>11</v>
      </c>
      <c r="AA80" s="845">
        <f t="shared" si="7"/>
        <v>12</v>
      </c>
      <c r="AB80" s="845">
        <f t="shared" si="7"/>
        <v>13</v>
      </c>
      <c r="AC80" s="845">
        <f t="shared" si="7"/>
        <v>14</v>
      </c>
      <c r="AD80" s="845">
        <f t="shared" si="7"/>
        <v>15</v>
      </c>
      <c r="AE80" s="845">
        <f t="shared" si="7"/>
        <v>16</v>
      </c>
      <c r="AF80" s="845">
        <f t="shared" si="7"/>
        <v>17</v>
      </c>
      <c r="AG80" s="845">
        <f t="shared" si="7"/>
        <v>18</v>
      </c>
      <c r="AH80" s="845">
        <f t="shared" si="7"/>
        <v>19</v>
      </c>
      <c r="AI80" s="845">
        <f t="shared" si="7"/>
        <v>20</v>
      </c>
      <c r="AJ80" s="845">
        <f t="shared" si="7"/>
        <v>21</v>
      </c>
      <c r="AK80" s="845">
        <f t="shared" si="7"/>
        <v>22</v>
      </c>
      <c r="AL80" s="845">
        <f t="shared" si="7"/>
        <v>23</v>
      </c>
      <c r="AM80" s="845">
        <f t="shared" si="7"/>
        <v>24</v>
      </c>
      <c r="AN80" s="845">
        <f t="shared" si="7"/>
        <v>25</v>
      </c>
      <c r="AO80" s="845">
        <f t="shared" si="7"/>
        <v>26</v>
      </c>
      <c r="AP80" s="845">
        <f t="shared" si="7"/>
        <v>27</v>
      </c>
      <c r="AQ80" s="845">
        <f t="shared" si="7"/>
        <v>28</v>
      </c>
      <c r="AR80" s="845">
        <f t="shared" si="7"/>
        <v>29</v>
      </c>
      <c r="AS80" s="845">
        <f t="shared" si="7"/>
        <v>30</v>
      </c>
      <c r="AT80" s="845">
        <f t="shared" si="7"/>
        <v>31</v>
      </c>
      <c r="AU80" s="845">
        <f t="shared" si="7"/>
        <v>32</v>
      </c>
      <c r="AV80" s="845">
        <f t="shared" si="7"/>
        <v>33</v>
      </c>
      <c r="AW80" s="845">
        <f t="shared" ref="AW80:BW80" si="8" xml:space="preserve"> AV80 + 1</f>
        <v>34</v>
      </c>
      <c r="AX80" s="845">
        <f t="shared" si="8"/>
        <v>35</v>
      </c>
      <c r="AY80" s="845">
        <f t="shared" si="8"/>
        <v>36</v>
      </c>
      <c r="AZ80" s="845">
        <f t="shared" si="8"/>
        <v>37</v>
      </c>
      <c r="BA80" s="845">
        <f t="shared" si="8"/>
        <v>38</v>
      </c>
      <c r="BB80" s="845">
        <f t="shared" si="8"/>
        <v>39</v>
      </c>
      <c r="BC80" s="845">
        <f t="shared" si="8"/>
        <v>40</v>
      </c>
      <c r="BD80" s="845">
        <f t="shared" si="8"/>
        <v>41</v>
      </c>
      <c r="BE80" s="845">
        <f t="shared" si="8"/>
        <v>42</v>
      </c>
      <c r="BF80" s="845">
        <f t="shared" si="8"/>
        <v>43</v>
      </c>
      <c r="BG80" s="845">
        <f t="shared" si="8"/>
        <v>44</v>
      </c>
      <c r="BH80" s="845">
        <f t="shared" si="8"/>
        <v>45</v>
      </c>
      <c r="BI80" s="845">
        <f t="shared" si="8"/>
        <v>46</v>
      </c>
      <c r="BJ80" s="845">
        <f t="shared" si="8"/>
        <v>47</v>
      </c>
      <c r="BK80" s="845">
        <f t="shared" si="8"/>
        <v>48</v>
      </c>
      <c r="BL80" s="845">
        <f t="shared" si="8"/>
        <v>49</v>
      </c>
      <c r="BM80" s="845">
        <f t="shared" si="8"/>
        <v>50</v>
      </c>
      <c r="BN80" s="845">
        <f t="shared" si="8"/>
        <v>51</v>
      </c>
      <c r="BO80" s="845">
        <f t="shared" si="8"/>
        <v>52</v>
      </c>
      <c r="BP80" s="845">
        <f t="shared" si="8"/>
        <v>53</v>
      </c>
      <c r="BQ80" s="845">
        <f t="shared" si="8"/>
        <v>54</v>
      </c>
      <c r="BR80" s="845">
        <f t="shared" si="8"/>
        <v>55</v>
      </c>
      <c r="BS80" s="845">
        <f t="shared" si="8"/>
        <v>56</v>
      </c>
      <c r="BT80" s="845">
        <f t="shared" si="8"/>
        <v>57</v>
      </c>
      <c r="BU80" s="845">
        <f t="shared" si="8"/>
        <v>58</v>
      </c>
      <c r="BV80" s="845">
        <f t="shared" si="8"/>
        <v>59</v>
      </c>
      <c r="BW80" s="845">
        <f t="shared" si="8"/>
        <v>60</v>
      </c>
      <c r="BX80" s="782"/>
      <c r="BY80" s="782"/>
      <c r="BZ80" s="782"/>
      <c r="CA80" s="782"/>
      <c r="CB80" s="782"/>
      <c r="CC80" s="782"/>
      <c r="CD80" s="782"/>
    </row>
    <row r="81" spans="1:82" s="786" customFormat="1" ht="14.85" customHeight="1" x14ac:dyDescent="0.2">
      <c r="C81" s="792" t="s">
        <v>205</v>
      </c>
      <c r="F81" s="807"/>
      <c r="I81" s="798"/>
      <c r="L81" s="784"/>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782"/>
      <c r="BA81" s="782"/>
      <c r="BB81" s="782"/>
      <c r="BC81" s="782"/>
      <c r="BD81" s="782"/>
      <c r="BE81" s="782"/>
      <c r="BF81" s="782"/>
      <c r="BG81" s="782"/>
      <c r="BH81" s="782"/>
      <c r="BI81" s="782"/>
      <c r="BJ81" s="782"/>
      <c r="BK81" s="782"/>
      <c r="BL81" s="782"/>
      <c r="BM81" s="782"/>
      <c r="BN81" s="782"/>
      <c r="BO81" s="782"/>
      <c r="BP81" s="782"/>
      <c r="BQ81" s="782"/>
      <c r="BR81" s="782"/>
      <c r="BS81" s="782"/>
      <c r="BT81" s="782"/>
      <c r="BU81" s="782"/>
      <c r="BV81" s="782"/>
      <c r="BW81" s="782"/>
      <c r="BX81" s="782"/>
      <c r="BY81" s="782"/>
      <c r="BZ81" s="782"/>
      <c r="CA81" s="782"/>
      <c r="CB81" s="782"/>
      <c r="CC81" s="782"/>
      <c r="CD81" s="782"/>
    </row>
    <row r="82" spans="1:82" s="782" customFormat="1" ht="14.85" customHeight="1" x14ac:dyDescent="0.2">
      <c r="A82" s="787"/>
      <c r="E82" s="782" t="s">
        <v>403</v>
      </c>
      <c r="F82" s="796"/>
      <c r="G82" s="801">
        <v>0.02</v>
      </c>
      <c r="I82" s="840"/>
      <c r="J82" s="783"/>
      <c r="L82" s="784"/>
      <c r="P82" s="812">
        <f t="shared" ref="P82:Y83" si="9" xml:space="preserve"> ( 1 + $G82) ^ (P$80 - 1)</f>
        <v>1</v>
      </c>
      <c r="Q82" s="812">
        <f t="shared" si="9"/>
        <v>1.02</v>
      </c>
      <c r="R82" s="812">
        <f t="shared" si="9"/>
        <v>1.0404</v>
      </c>
      <c r="S82" s="812">
        <f t="shared" si="9"/>
        <v>1.0612079999999999</v>
      </c>
      <c r="T82" s="812">
        <f t="shared" si="9"/>
        <v>1.08243216</v>
      </c>
      <c r="U82" s="812">
        <f t="shared" si="9"/>
        <v>1.1040808032</v>
      </c>
      <c r="V82" s="812">
        <f t="shared" si="9"/>
        <v>1.1261624192640001</v>
      </c>
      <c r="W82" s="812">
        <f t="shared" si="9"/>
        <v>1.1486856676492798</v>
      </c>
      <c r="X82" s="812">
        <f t="shared" si="9"/>
        <v>1.1716593810022655</v>
      </c>
      <c r="Y82" s="812">
        <f t="shared" si="9"/>
        <v>1.1950925686223108</v>
      </c>
      <c r="Z82" s="812">
        <f t="shared" ref="Z82:AI83" si="10" xml:space="preserve"> ( 1 + $G82) ^ (Z$80 - 1)</f>
        <v>1.2189944199947571</v>
      </c>
      <c r="AA82" s="812">
        <f t="shared" si="10"/>
        <v>1.243374308394652</v>
      </c>
      <c r="AB82" s="812">
        <f t="shared" si="10"/>
        <v>1.2682417945625453</v>
      </c>
      <c r="AC82" s="812">
        <f t="shared" si="10"/>
        <v>1.2936066304537961</v>
      </c>
      <c r="AD82" s="812">
        <f t="shared" si="10"/>
        <v>1.3194787630628722</v>
      </c>
      <c r="AE82" s="812">
        <f t="shared" si="10"/>
        <v>1.3458683383241292</v>
      </c>
      <c r="AF82" s="812">
        <f t="shared" si="10"/>
        <v>1.372785705090612</v>
      </c>
      <c r="AG82" s="812">
        <f t="shared" si="10"/>
        <v>1.4002414191924244</v>
      </c>
      <c r="AH82" s="812">
        <f t="shared" si="10"/>
        <v>1.4282462475762727</v>
      </c>
      <c r="AI82" s="812">
        <f t="shared" si="10"/>
        <v>1.4568111725277981</v>
      </c>
      <c r="AJ82" s="812">
        <f t="shared" ref="AJ82:AS83" si="11" xml:space="preserve"> ( 1 + $G82) ^ (AJ$80 - 1)</f>
        <v>1.4859473959783542</v>
      </c>
      <c r="AK82" s="812">
        <f t="shared" si="11"/>
        <v>1.5156663438979212</v>
      </c>
      <c r="AL82" s="812">
        <f t="shared" si="11"/>
        <v>1.5459796707758797</v>
      </c>
      <c r="AM82" s="812">
        <f t="shared" si="11"/>
        <v>1.576899264191397</v>
      </c>
      <c r="AN82" s="812">
        <f t="shared" si="11"/>
        <v>1.608437249475225</v>
      </c>
      <c r="AO82" s="812">
        <f t="shared" si="11"/>
        <v>1.6406059944647295</v>
      </c>
      <c r="AP82" s="812">
        <f t="shared" si="11"/>
        <v>1.6734181143540243</v>
      </c>
      <c r="AQ82" s="812">
        <f t="shared" si="11"/>
        <v>1.7068864766411045</v>
      </c>
      <c r="AR82" s="812">
        <f t="shared" si="11"/>
        <v>1.7410242061739269</v>
      </c>
      <c r="AS82" s="812">
        <f t="shared" si="11"/>
        <v>1.7758446902974052</v>
      </c>
      <c r="AT82" s="812">
        <f t="shared" ref="AT82:BC83" si="12" xml:space="preserve"> ( 1 + $G82) ^ (AT$80 - 1)</f>
        <v>1.8113615841033535</v>
      </c>
      <c r="AU82" s="812">
        <f t="shared" si="12"/>
        <v>1.8475888157854201</v>
      </c>
      <c r="AV82" s="812">
        <f t="shared" si="12"/>
        <v>1.8845405921011289</v>
      </c>
      <c r="AW82" s="812">
        <f t="shared" si="12"/>
        <v>1.9222314039431516</v>
      </c>
      <c r="AX82" s="812">
        <f t="shared" si="12"/>
        <v>1.9606760320220145</v>
      </c>
      <c r="AY82" s="812">
        <f t="shared" si="12"/>
        <v>1.9998895526624547</v>
      </c>
      <c r="AZ82" s="812">
        <f t="shared" si="12"/>
        <v>2.0398873437157037</v>
      </c>
      <c r="BA82" s="812">
        <f t="shared" si="12"/>
        <v>2.080685090590018</v>
      </c>
      <c r="BB82" s="812">
        <f t="shared" si="12"/>
        <v>2.1222987924018186</v>
      </c>
      <c r="BC82" s="812">
        <f t="shared" si="12"/>
        <v>2.1647447682498542</v>
      </c>
      <c r="BD82" s="812">
        <f t="shared" ref="BD82:BM83" si="13" xml:space="preserve"> ( 1 + $G82) ^ (BD$80 - 1)</f>
        <v>2.2080396636148518</v>
      </c>
      <c r="BE82" s="812">
        <f t="shared" si="13"/>
        <v>2.2522004568871488</v>
      </c>
      <c r="BF82" s="812">
        <f t="shared" si="13"/>
        <v>2.2972444660248916</v>
      </c>
      <c r="BG82" s="812">
        <f t="shared" si="13"/>
        <v>2.3431893553453893</v>
      </c>
      <c r="BH82" s="812">
        <f t="shared" si="13"/>
        <v>2.3900531424522975</v>
      </c>
      <c r="BI82" s="812">
        <f t="shared" si="13"/>
        <v>2.4378542053013432</v>
      </c>
      <c r="BJ82" s="812">
        <f t="shared" si="13"/>
        <v>2.4866112894073704</v>
      </c>
      <c r="BK82" s="812">
        <f t="shared" si="13"/>
        <v>2.5363435151955169</v>
      </c>
      <c r="BL82" s="812">
        <f t="shared" si="13"/>
        <v>2.5870703854994277</v>
      </c>
      <c r="BM82" s="812">
        <f t="shared" si="13"/>
        <v>2.6388117932094164</v>
      </c>
      <c r="BN82" s="812">
        <f t="shared" ref="BN82:BW83" si="14" xml:space="preserve"> ( 1 + $G82) ^ (BN$80 - 1)</f>
        <v>2.6915880290736047</v>
      </c>
      <c r="BO82" s="812">
        <f t="shared" si="14"/>
        <v>2.7454197896550765</v>
      </c>
      <c r="BP82" s="812">
        <f t="shared" si="14"/>
        <v>2.8003281854481785</v>
      </c>
      <c r="BQ82" s="812">
        <f t="shared" si="14"/>
        <v>2.8563347491571416</v>
      </c>
      <c r="BR82" s="812">
        <f t="shared" si="14"/>
        <v>2.9134614441402849</v>
      </c>
      <c r="BS82" s="812">
        <f t="shared" si="14"/>
        <v>2.9717306730230897</v>
      </c>
      <c r="BT82" s="812">
        <f t="shared" si="14"/>
        <v>3.0311652864835517</v>
      </c>
      <c r="BU82" s="812">
        <f t="shared" si="14"/>
        <v>3.0917885922132227</v>
      </c>
      <c r="BV82" s="812">
        <f t="shared" si="14"/>
        <v>3.1536243640574875</v>
      </c>
      <c r="BW82" s="812">
        <f t="shared" si="14"/>
        <v>3.2166968513386367</v>
      </c>
    </row>
    <row r="83" spans="1:82" s="782" customFormat="1" ht="14.85" customHeight="1" x14ac:dyDescent="0.2">
      <c r="A83" s="787"/>
      <c r="E83" s="782" t="s">
        <v>402</v>
      </c>
      <c r="F83" s="796"/>
      <c r="G83" s="801">
        <v>0</v>
      </c>
      <c r="I83" s="840"/>
      <c r="J83" s="783"/>
      <c r="L83" s="784"/>
      <c r="P83" s="812">
        <f t="shared" si="9"/>
        <v>1</v>
      </c>
      <c r="Q83" s="812">
        <f t="shared" si="9"/>
        <v>1</v>
      </c>
      <c r="R83" s="812">
        <f t="shared" si="9"/>
        <v>1</v>
      </c>
      <c r="S83" s="812">
        <f t="shared" si="9"/>
        <v>1</v>
      </c>
      <c r="T83" s="812">
        <f t="shared" si="9"/>
        <v>1</v>
      </c>
      <c r="U83" s="812">
        <f t="shared" si="9"/>
        <v>1</v>
      </c>
      <c r="V83" s="812">
        <f t="shared" si="9"/>
        <v>1</v>
      </c>
      <c r="W83" s="812">
        <f t="shared" si="9"/>
        <v>1</v>
      </c>
      <c r="X83" s="812">
        <f t="shared" si="9"/>
        <v>1</v>
      </c>
      <c r="Y83" s="812">
        <f t="shared" si="9"/>
        <v>1</v>
      </c>
      <c r="Z83" s="812">
        <f t="shared" si="10"/>
        <v>1</v>
      </c>
      <c r="AA83" s="812">
        <f t="shared" si="10"/>
        <v>1</v>
      </c>
      <c r="AB83" s="812">
        <f t="shared" si="10"/>
        <v>1</v>
      </c>
      <c r="AC83" s="812">
        <f t="shared" si="10"/>
        <v>1</v>
      </c>
      <c r="AD83" s="812">
        <f t="shared" si="10"/>
        <v>1</v>
      </c>
      <c r="AE83" s="812">
        <f t="shared" si="10"/>
        <v>1</v>
      </c>
      <c r="AF83" s="812">
        <f t="shared" si="10"/>
        <v>1</v>
      </c>
      <c r="AG83" s="812">
        <f t="shared" si="10"/>
        <v>1</v>
      </c>
      <c r="AH83" s="812">
        <f t="shared" si="10"/>
        <v>1</v>
      </c>
      <c r="AI83" s="812">
        <f t="shared" si="10"/>
        <v>1</v>
      </c>
      <c r="AJ83" s="812">
        <f t="shared" si="11"/>
        <v>1</v>
      </c>
      <c r="AK83" s="812">
        <f t="shared" si="11"/>
        <v>1</v>
      </c>
      <c r="AL83" s="812">
        <f t="shared" si="11"/>
        <v>1</v>
      </c>
      <c r="AM83" s="812">
        <f t="shared" si="11"/>
        <v>1</v>
      </c>
      <c r="AN83" s="812">
        <f t="shared" si="11"/>
        <v>1</v>
      </c>
      <c r="AO83" s="812">
        <f t="shared" si="11"/>
        <v>1</v>
      </c>
      <c r="AP83" s="812">
        <f t="shared" si="11"/>
        <v>1</v>
      </c>
      <c r="AQ83" s="812">
        <f t="shared" si="11"/>
        <v>1</v>
      </c>
      <c r="AR83" s="812">
        <f t="shared" si="11"/>
        <v>1</v>
      </c>
      <c r="AS83" s="812">
        <f t="shared" si="11"/>
        <v>1</v>
      </c>
      <c r="AT83" s="812">
        <f t="shared" si="12"/>
        <v>1</v>
      </c>
      <c r="AU83" s="812">
        <f t="shared" si="12"/>
        <v>1</v>
      </c>
      <c r="AV83" s="812">
        <f t="shared" si="12"/>
        <v>1</v>
      </c>
      <c r="AW83" s="812">
        <f t="shared" si="12"/>
        <v>1</v>
      </c>
      <c r="AX83" s="812">
        <f t="shared" si="12"/>
        <v>1</v>
      </c>
      <c r="AY83" s="812">
        <f t="shared" si="12"/>
        <v>1</v>
      </c>
      <c r="AZ83" s="812">
        <f t="shared" si="12"/>
        <v>1</v>
      </c>
      <c r="BA83" s="812">
        <f t="shared" si="12"/>
        <v>1</v>
      </c>
      <c r="BB83" s="812">
        <f t="shared" si="12"/>
        <v>1</v>
      </c>
      <c r="BC83" s="812">
        <f t="shared" si="12"/>
        <v>1</v>
      </c>
      <c r="BD83" s="812">
        <f t="shared" si="13"/>
        <v>1</v>
      </c>
      <c r="BE83" s="812">
        <f t="shared" si="13"/>
        <v>1</v>
      </c>
      <c r="BF83" s="812">
        <f t="shared" si="13"/>
        <v>1</v>
      </c>
      <c r="BG83" s="812">
        <f t="shared" si="13"/>
        <v>1</v>
      </c>
      <c r="BH83" s="812">
        <f t="shared" si="13"/>
        <v>1</v>
      </c>
      <c r="BI83" s="812">
        <f t="shared" si="13"/>
        <v>1</v>
      </c>
      <c r="BJ83" s="812">
        <f t="shared" si="13"/>
        <v>1</v>
      </c>
      <c r="BK83" s="812">
        <f t="shared" si="13"/>
        <v>1</v>
      </c>
      <c r="BL83" s="812">
        <f t="shared" si="13"/>
        <v>1</v>
      </c>
      <c r="BM83" s="812">
        <f t="shared" si="13"/>
        <v>1</v>
      </c>
      <c r="BN83" s="812">
        <f t="shared" si="14"/>
        <v>1</v>
      </c>
      <c r="BO83" s="812">
        <f t="shared" si="14"/>
        <v>1</v>
      </c>
      <c r="BP83" s="812">
        <f t="shared" si="14"/>
        <v>1</v>
      </c>
      <c r="BQ83" s="812">
        <f t="shared" si="14"/>
        <v>1</v>
      </c>
      <c r="BR83" s="812">
        <f t="shared" si="14"/>
        <v>1</v>
      </c>
      <c r="BS83" s="812">
        <f t="shared" si="14"/>
        <v>1</v>
      </c>
      <c r="BT83" s="812">
        <f t="shared" si="14"/>
        <v>1</v>
      </c>
      <c r="BU83" s="812">
        <f t="shared" si="14"/>
        <v>1</v>
      </c>
      <c r="BV83" s="812">
        <f t="shared" si="14"/>
        <v>1</v>
      </c>
      <c r="BW83" s="812">
        <f t="shared" si="14"/>
        <v>1</v>
      </c>
    </row>
    <row r="84" spans="1:82" s="782" customFormat="1" ht="11.25" x14ac:dyDescent="0.2">
      <c r="A84" s="787"/>
      <c r="E84" s="797"/>
      <c r="F84" s="796"/>
      <c r="I84" s="793"/>
      <c r="L84" s="784"/>
    </row>
    <row r="85" spans="1:82" s="782" customFormat="1" ht="11.25" x14ac:dyDescent="0.2">
      <c r="A85" s="787"/>
      <c r="F85" s="796"/>
      <c r="I85" s="793"/>
      <c r="L85" s="784"/>
    </row>
    <row r="86" spans="1:82" s="782" customFormat="1" ht="11.25" x14ac:dyDescent="0.2">
      <c r="A86" s="787"/>
      <c r="F86" s="796"/>
      <c r="I86" s="793"/>
    </row>
    <row r="87" spans="1:82" s="782" customFormat="1" ht="11.25" x14ac:dyDescent="0.2">
      <c r="A87" s="787"/>
      <c r="F87" s="796"/>
      <c r="I87" s="793"/>
    </row>
    <row r="88" spans="1:82" s="782" customFormat="1" ht="11.25" x14ac:dyDescent="0.2">
      <c r="A88" s="787"/>
      <c r="F88" s="796"/>
      <c r="I88" s="793"/>
    </row>
    <row r="89" spans="1:82" s="782" customFormat="1" ht="11.25" x14ac:dyDescent="0.2">
      <c r="A89" s="787"/>
      <c r="F89" s="796"/>
      <c r="I89" s="793"/>
    </row>
    <row r="90" spans="1:82" s="782" customFormat="1" ht="11.25" x14ac:dyDescent="0.2">
      <c r="A90" s="787"/>
      <c r="F90" s="796"/>
      <c r="I90" s="793"/>
    </row>
    <row r="91" spans="1:82" s="782" customFormat="1" ht="11.25" x14ac:dyDescent="0.2">
      <c r="A91" s="787"/>
      <c r="F91" s="796"/>
      <c r="I91" s="793"/>
    </row>
    <row r="92" spans="1:82" s="782" customFormat="1" ht="11.25" x14ac:dyDescent="0.2">
      <c r="A92" s="787"/>
      <c r="F92" s="796"/>
      <c r="I92" s="793"/>
    </row>
    <row r="93" spans="1:82" s="782" customFormat="1" ht="11.25" x14ac:dyDescent="0.2">
      <c r="A93" s="787"/>
      <c r="F93" s="796"/>
      <c r="I93" s="793"/>
    </row>
    <row r="94" spans="1:82" s="782" customFormat="1" ht="11.25" x14ac:dyDescent="0.2">
      <c r="A94" s="787"/>
      <c r="F94" s="796"/>
      <c r="I94" s="793"/>
    </row>
    <row r="95" spans="1:82" s="782" customFormat="1" ht="11.25" x14ac:dyDescent="0.2">
      <c r="A95" s="787"/>
      <c r="F95" s="796"/>
      <c r="I95" s="793"/>
    </row>
    <row r="96" spans="1:82" s="782" customFormat="1" ht="11.25" x14ac:dyDescent="0.2">
      <c r="A96" s="787"/>
      <c r="F96" s="796"/>
      <c r="I96" s="793"/>
    </row>
    <row r="97" spans="1:9" s="782" customFormat="1" ht="11.25" x14ac:dyDescent="0.2">
      <c r="A97" s="787"/>
      <c r="F97" s="796"/>
      <c r="I97" s="793"/>
    </row>
    <row r="98" spans="1:9" s="782" customFormat="1" ht="11.25" x14ac:dyDescent="0.2">
      <c r="A98" s="787"/>
      <c r="F98" s="796"/>
      <c r="I98" s="793"/>
    </row>
    <row r="99" spans="1:9" s="782" customFormat="1" ht="11.25" x14ac:dyDescent="0.2">
      <c r="A99" s="787"/>
      <c r="F99" s="796"/>
      <c r="I99" s="793"/>
    </row>
    <row r="100" spans="1:9" s="782" customFormat="1" ht="11.25" x14ac:dyDescent="0.2">
      <c r="A100" s="787"/>
      <c r="F100" s="796"/>
      <c r="I100" s="793"/>
    </row>
    <row r="101" spans="1:9" s="782" customFormat="1" ht="11.25" x14ac:dyDescent="0.2">
      <c r="A101" s="787"/>
      <c r="F101" s="796"/>
      <c r="I101" s="793"/>
    </row>
    <row r="102" spans="1:9" s="782" customFormat="1" ht="11.25" x14ac:dyDescent="0.2">
      <c r="A102" s="787"/>
      <c r="F102" s="796"/>
      <c r="I102" s="793"/>
    </row>
    <row r="103" spans="1:9" s="782" customFormat="1" ht="11.25" x14ac:dyDescent="0.2">
      <c r="A103" s="787"/>
      <c r="F103" s="796"/>
      <c r="I103" s="793"/>
    </row>
    <row r="104" spans="1:9" s="782" customFormat="1" ht="11.25" x14ac:dyDescent="0.2">
      <c r="A104" s="787"/>
      <c r="F104" s="796"/>
      <c r="I104" s="793"/>
    </row>
    <row r="105" spans="1:9" s="782" customFormat="1" ht="11.25" x14ac:dyDescent="0.2">
      <c r="A105" s="787"/>
      <c r="F105" s="796"/>
      <c r="I105" s="793"/>
    </row>
    <row r="106" spans="1:9" s="782" customFormat="1" ht="11.25" x14ac:dyDescent="0.2">
      <c r="A106" s="787"/>
      <c r="F106" s="796"/>
      <c r="I106" s="793"/>
    </row>
    <row r="107" spans="1:9" s="782" customFormat="1" ht="11.25" x14ac:dyDescent="0.2">
      <c r="A107" s="787"/>
      <c r="F107" s="796"/>
      <c r="I107" s="793"/>
    </row>
    <row r="108" spans="1:9" s="782" customFormat="1" ht="11.25" x14ac:dyDescent="0.2">
      <c r="A108" s="787"/>
      <c r="F108" s="796"/>
      <c r="I108" s="793"/>
    </row>
    <row r="109" spans="1:9" s="782" customFormat="1" ht="11.25" x14ac:dyDescent="0.2">
      <c r="A109" s="787"/>
      <c r="F109" s="796"/>
      <c r="I109" s="793"/>
    </row>
    <row r="110" spans="1:9" s="782" customFormat="1" ht="11.25" x14ac:dyDescent="0.2">
      <c r="A110" s="787"/>
      <c r="F110" s="796"/>
      <c r="I110" s="793"/>
    </row>
    <row r="111" spans="1:9" s="782" customFormat="1" ht="11.25" x14ac:dyDescent="0.2">
      <c r="A111" s="787"/>
      <c r="F111" s="796"/>
      <c r="I111" s="793"/>
    </row>
    <row r="112" spans="1:9" s="782" customFormat="1" ht="11.25" x14ac:dyDescent="0.2">
      <c r="A112" s="787"/>
      <c r="F112" s="796"/>
      <c r="I112" s="793"/>
    </row>
    <row r="113" spans="1:9" s="782" customFormat="1" ht="11.25" x14ac:dyDescent="0.2">
      <c r="A113" s="787"/>
      <c r="F113" s="796"/>
      <c r="I113" s="793"/>
    </row>
    <row r="114" spans="1:9" s="782" customFormat="1" ht="11.25" x14ac:dyDescent="0.2">
      <c r="A114" s="787"/>
      <c r="F114" s="796"/>
      <c r="I114" s="793"/>
    </row>
    <row r="115" spans="1:9" s="782" customFormat="1" ht="11.25" x14ac:dyDescent="0.2">
      <c r="A115" s="787"/>
      <c r="F115" s="796"/>
      <c r="I115" s="793"/>
    </row>
    <row r="116" spans="1:9" s="782" customFormat="1" ht="11.25" x14ac:dyDescent="0.2">
      <c r="A116" s="787"/>
      <c r="F116" s="796"/>
      <c r="I116" s="793"/>
    </row>
    <row r="117" spans="1:9" s="782" customFormat="1" ht="11.25" x14ac:dyDescent="0.2">
      <c r="A117" s="787"/>
      <c r="F117" s="796"/>
      <c r="I117" s="793"/>
    </row>
    <row r="118" spans="1:9" s="782" customFormat="1" ht="11.25" x14ac:dyDescent="0.2">
      <c r="A118" s="787"/>
      <c r="F118" s="796"/>
      <c r="I118" s="793"/>
    </row>
    <row r="119" spans="1:9" s="782" customFormat="1" ht="11.25" x14ac:dyDescent="0.2">
      <c r="A119" s="787"/>
      <c r="F119" s="796"/>
      <c r="I119" s="793"/>
    </row>
    <row r="120" spans="1:9" s="782" customFormat="1" ht="11.25" x14ac:dyDescent="0.2">
      <c r="A120" s="787"/>
      <c r="F120" s="796"/>
      <c r="I120" s="793"/>
    </row>
    <row r="121" spans="1:9" s="782" customFormat="1" ht="11.25" x14ac:dyDescent="0.2">
      <c r="A121" s="787"/>
      <c r="F121" s="796"/>
      <c r="I121" s="793"/>
    </row>
    <row r="122" spans="1:9" s="782" customFormat="1" ht="11.25" x14ac:dyDescent="0.2">
      <c r="A122" s="787"/>
      <c r="F122" s="796"/>
      <c r="I122" s="793"/>
    </row>
    <row r="123" spans="1:9" s="782" customFormat="1" ht="11.25" x14ac:dyDescent="0.2">
      <c r="A123" s="787"/>
      <c r="F123" s="796"/>
      <c r="I123" s="793"/>
    </row>
    <row r="124" spans="1:9" s="782" customFormat="1" ht="11.25" x14ac:dyDescent="0.2">
      <c r="A124" s="787"/>
      <c r="F124" s="796"/>
      <c r="I124" s="793"/>
    </row>
    <row r="125" spans="1:9" s="782" customFormat="1" ht="11.25" x14ac:dyDescent="0.2">
      <c r="A125" s="787"/>
      <c r="F125" s="796"/>
      <c r="I125" s="793"/>
    </row>
    <row r="126" spans="1:9" s="782" customFormat="1" ht="11.25" x14ac:dyDescent="0.2">
      <c r="A126" s="787"/>
      <c r="F126" s="796"/>
      <c r="I126" s="793"/>
    </row>
    <row r="127" spans="1:9" s="782" customFormat="1" ht="11.25" x14ac:dyDescent="0.2">
      <c r="A127" s="787"/>
      <c r="F127" s="796"/>
      <c r="I127" s="793"/>
    </row>
    <row r="128" spans="1:9" s="782" customFormat="1" ht="11.25" x14ac:dyDescent="0.2">
      <c r="A128" s="787"/>
      <c r="F128" s="796"/>
      <c r="I128" s="793"/>
    </row>
    <row r="129" spans="1:9" s="782" customFormat="1" ht="11.25" x14ac:dyDescent="0.2">
      <c r="A129" s="787"/>
      <c r="F129" s="796"/>
      <c r="I129" s="793"/>
    </row>
    <row r="130" spans="1:9" s="782" customFormat="1" ht="11.25" x14ac:dyDescent="0.2">
      <c r="A130" s="787"/>
      <c r="F130" s="796"/>
      <c r="I130" s="793"/>
    </row>
    <row r="131" spans="1:9" s="782" customFormat="1" ht="11.25" x14ac:dyDescent="0.2">
      <c r="A131" s="787"/>
      <c r="F131" s="796"/>
      <c r="I131" s="793"/>
    </row>
    <row r="132" spans="1:9" s="782" customFormat="1" ht="11.25" x14ac:dyDescent="0.2">
      <c r="A132" s="787"/>
      <c r="F132" s="796"/>
      <c r="I132" s="793"/>
    </row>
    <row r="133" spans="1:9" s="782" customFormat="1" ht="11.25" x14ac:dyDescent="0.2">
      <c r="A133" s="787"/>
      <c r="F133" s="796"/>
      <c r="I133" s="793"/>
    </row>
    <row r="134" spans="1:9" s="782" customFormat="1" ht="11.25" x14ac:dyDescent="0.2">
      <c r="A134" s="787"/>
      <c r="F134" s="796"/>
      <c r="I134" s="793"/>
    </row>
    <row r="135" spans="1:9" s="782" customFormat="1" ht="11.25" x14ac:dyDescent="0.2">
      <c r="A135" s="787"/>
      <c r="F135" s="796"/>
      <c r="I135" s="793"/>
    </row>
    <row r="136" spans="1:9" s="782" customFormat="1" ht="11.25" x14ac:dyDescent="0.2">
      <c r="A136" s="787"/>
      <c r="F136" s="796"/>
      <c r="I136" s="793"/>
    </row>
    <row r="137" spans="1:9" s="782" customFormat="1" ht="11.25" x14ac:dyDescent="0.2">
      <c r="A137" s="787"/>
      <c r="F137" s="796"/>
      <c r="I137" s="793"/>
    </row>
    <row r="138" spans="1:9" s="782" customFormat="1" ht="11.25" x14ac:dyDescent="0.2">
      <c r="A138" s="787"/>
      <c r="F138" s="796"/>
      <c r="I138" s="793"/>
    </row>
    <row r="139" spans="1:9" s="782" customFormat="1" ht="11.25" x14ac:dyDescent="0.2">
      <c r="A139" s="787"/>
      <c r="F139" s="796"/>
      <c r="I139" s="793"/>
    </row>
    <row r="140" spans="1:9" s="782" customFormat="1" ht="11.25" x14ac:dyDescent="0.2">
      <c r="A140" s="787"/>
      <c r="F140" s="796"/>
      <c r="I140" s="793"/>
    </row>
    <row r="141" spans="1:9" s="782" customFormat="1" ht="11.25" x14ac:dyDescent="0.2">
      <c r="A141" s="787"/>
      <c r="F141" s="796"/>
      <c r="I141" s="793"/>
    </row>
    <row r="142" spans="1:9" s="782" customFormat="1" ht="11.25" x14ac:dyDescent="0.2">
      <c r="A142" s="787"/>
      <c r="F142" s="796"/>
      <c r="I142" s="793"/>
    </row>
    <row r="143" spans="1:9" s="782" customFormat="1" ht="11.25" x14ac:dyDescent="0.2">
      <c r="A143" s="787"/>
      <c r="F143" s="796"/>
      <c r="I143" s="793"/>
    </row>
    <row r="144" spans="1:9" s="782" customFormat="1" ht="11.25" x14ac:dyDescent="0.2">
      <c r="A144" s="787"/>
      <c r="F144" s="796"/>
      <c r="I144" s="793"/>
    </row>
    <row r="145" spans="1:9" s="782" customFormat="1" ht="11.25" x14ac:dyDescent="0.2">
      <c r="A145" s="787"/>
      <c r="F145" s="796"/>
      <c r="I145" s="793"/>
    </row>
    <row r="146" spans="1:9" s="782" customFormat="1" ht="11.25" x14ac:dyDescent="0.2">
      <c r="A146" s="787"/>
      <c r="F146" s="796"/>
      <c r="I146" s="793"/>
    </row>
    <row r="147" spans="1:9" s="782" customFormat="1" ht="11.25" x14ac:dyDescent="0.2">
      <c r="A147" s="787"/>
      <c r="F147" s="796"/>
      <c r="I147" s="793"/>
    </row>
    <row r="148" spans="1:9" s="782" customFormat="1" ht="11.25" x14ac:dyDescent="0.2">
      <c r="A148" s="787"/>
      <c r="F148" s="796"/>
      <c r="I148" s="793"/>
    </row>
    <row r="149" spans="1:9" s="782" customFormat="1" ht="11.25" x14ac:dyDescent="0.2">
      <c r="A149" s="787"/>
      <c r="F149" s="796"/>
      <c r="I149" s="793"/>
    </row>
    <row r="150" spans="1:9" s="782" customFormat="1" ht="11.25" x14ac:dyDescent="0.2">
      <c r="A150" s="787"/>
      <c r="F150" s="796"/>
      <c r="I150" s="793"/>
    </row>
    <row r="151" spans="1:9" s="782" customFormat="1" ht="11.25" x14ac:dyDescent="0.2">
      <c r="A151" s="787"/>
      <c r="F151" s="796"/>
      <c r="I151" s="793"/>
    </row>
    <row r="152" spans="1:9" s="782" customFormat="1" ht="11.25" x14ac:dyDescent="0.2">
      <c r="A152" s="787"/>
      <c r="F152" s="796"/>
      <c r="I152" s="793"/>
    </row>
    <row r="153" spans="1:9" s="782" customFormat="1" ht="11.25" x14ac:dyDescent="0.2">
      <c r="A153" s="787"/>
      <c r="F153" s="796"/>
      <c r="I153" s="793"/>
    </row>
    <row r="154" spans="1:9" s="782" customFormat="1" ht="11.25" x14ac:dyDescent="0.2">
      <c r="A154" s="787"/>
      <c r="F154" s="796"/>
      <c r="I154" s="793"/>
    </row>
    <row r="155" spans="1:9" s="782" customFormat="1" ht="11.25" x14ac:dyDescent="0.2">
      <c r="A155" s="787"/>
      <c r="F155" s="796"/>
      <c r="I155" s="793"/>
    </row>
    <row r="156" spans="1:9" s="782" customFormat="1" ht="11.25" x14ac:dyDescent="0.2">
      <c r="A156" s="787"/>
      <c r="F156" s="796"/>
      <c r="I156" s="793"/>
    </row>
    <row r="157" spans="1:9" s="782" customFormat="1" ht="11.25" x14ac:dyDescent="0.2">
      <c r="A157" s="787"/>
      <c r="F157" s="796"/>
      <c r="I157" s="793"/>
    </row>
    <row r="158" spans="1:9" s="782" customFormat="1" ht="11.25" x14ac:dyDescent="0.2">
      <c r="A158" s="787"/>
      <c r="F158" s="796"/>
      <c r="I158" s="793"/>
    </row>
    <row r="159" spans="1:9" s="782" customFormat="1" ht="11.25" x14ac:dyDescent="0.2">
      <c r="A159" s="787"/>
      <c r="F159" s="796"/>
      <c r="I159" s="793"/>
    </row>
    <row r="160" spans="1:9" s="782" customFormat="1" ht="11.25" x14ac:dyDescent="0.2">
      <c r="A160" s="787"/>
      <c r="F160" s="796"/>
      <c r="I160" s="793"/>
    </row>
    <row r="161" spans="1:9" s="782" customFormat="1" ht="11.25" x14ac:dyDescent="0.2">
      <c r="A161" s="787"/>
      <c r="F161" s="796"/>
      <c r="I161" s="793"/>
    </row>
    <row r="162" spans="1:9" s="782" customFormat="1" ht="11.25" x14ac:dyDescent="0.2">
      <c r="A162" s="787"/>
      <c r="F162" s="796"/>
      <c r="I162" s="793"/>
    </row>
    <row r="163" spans="1:9" s="782" customFormat="1" ht="11.25" x14ac:dyDescent="0.2">
      <c r="A163" s="787"/>
      <c r="F163" s="796"/>
      <c r="I163" s="793"/>
    </row>
    <row r="164" spans="1:9" s="782" customFormat="1" ht="11.25" x14ac:dyDescent="0.2">
      <c r="A164" s="787"/>
      <c r="F164" s="796"/>
      <c r="I164" s="793"/>
    </row>
    <row r="165" spans="1:9" s="782" customFormat="1" ht="11.25" x14ac:dyDescent="0.2">
      <c r="A165" s="787"/>
      <c r="F165" s="796"/>
      <c r="I165" s="793"/>
    </row>
    <row r="166" spans="1:9" s="782" customFormat="1" ht="11.25" x14ac:dyDescent="0.2">
      <c r="A166" s="787"/>
      <c r="F166" s="796"/>
      <c r="I166" s="793"/>
    </row>
    <row r="167" spans="1:9" s="782" customFormat="1" ht="11.25" x14ac:dyDescent="0.2">
      <c r="A167" s="787"/>
      <c r="F167" s="796"/>
      <c r="I167" s="793"/>
    </row>
    <row r="168" spans="1:9" s="782" customFormat="1" ht="11.25" x14ac:dyDescent="0.2">
      <c r="A168" s="787"/>
      <c r="F168" s="796"/>
      <c r="I168" s="793"/>
    </row>
    <row r="169" spans="1:9" s="782" customFormat="1" ht="11.25" x14ac:dyDescent="0.2">
      <c r="A169" s="787"/>
      <c r="F169" s="796"/>
      <c r="I169" s="793"/>
    </row>
    <row r="170" spans="1:9" s="782" customFormat="1" ht="11.25" x14ac:dyDescent="0.2">
      <c r="A170" s="787"/>
      <c r="F170" s="796"/>
      <c r="I170" s="793"/>
    </row>
    <row r="171" spans="1:9" s="782" customFormat="1" ht="11.25" x14ac:dyDescent="0.2">
      <c r="A171" s="787"/>
      <c r="F171" s="796"/>
      <c r="I171" s="793"/>
    </row>
    <row r="172" spans="1:9" s="782" customFormat="1" ht="11.25" x14ac:dyDescent="0.2">
      <c r="A172" s="787"/>
      <c r="F172" s="796"/>
      <c r="I172" s="793"/>
    </row>
    <row r="173" spans="1:9" s="782" customFormat="1" ht="11.25" x14ac:dyDescent="0.2">
      <c r="A173" s="787"/>
      <c r="F173" s="796"/>
      <c r="I173" s="793"/>
    </row>
    <row r="174" spans="1:9" s="782" customFormat="1" ht="11.25" x14ac:dyDescent="0.2">
      <c r="A174" s="787"/>
      <c r="F174" s="796"/>
      <c r="I174" s="793"/>
    </row>
    <row r="175" spans="1:9" s="782" customFormat="1" ht="11.25" x14ac:dyDescent="0.2">
      <c r="A175" s="787"/>
      <c r="F175" s="796"/>
      <c r="I175" s="793"/>
    </row>
    <row r="176" spans="1:9" s="782" customFormat="1" ht="11.25" x14ac:dyDescent="0.2">
      <c r="A176" s="787"/>
      <c r="F176" s="796"/>
      <c r="I176" s="793"/>
    </row>
    <row r="177" spans="1:9" s="782" customFormat="1" ht="11.25" x14ac:dyDescent="0.2">
      <c r="A177" s="787"/>
      <c r="F177" s="796"/>
      <c r="I177" s="793"/>
    </row>
    <row r="178" spans="1:9" s="782" customFormat="1" ht="11.25" x14ac:dyDescent="0.2">
      <c r="A178" s="787"/>
      <c r="F178" s="796"/>
      <c r="I178" s="793"/>
    </row>
    <row r="179" spans="1:9" s="782" customFormat="1" ht="11.25" x14ac:dyDescent="0.2">
      <c r="A179" s="787"/>
      <c r="F179" s="796"/>
      <c r="I179" s="793"/>
    </row>
    <row r="180" spans="1:9" s="782" customFormat="1" ht="11.25" x14ac:dyDescent="0.2">
      <c r="A180" s="787"/>
      <c r="F180" s="796"/>
      <c r="I180" s="793"/>
    </row>
    <row r="181" spans="1:9" s="782" customFormat="1" ht="11.25" x14ac:dyDescent="0.2">
      <c r="A181" s="787"/>
      <c r="F181" s="796"/>
      <c r="I181" s="793"/>
    </row>
    <row r="182" spans="1:9" s="782" customFormat="1" ht="11.25" x14ac:dyDescent="0.2">
      <c r="A182" s="787"/>
      <c r="F182" s="796"/>
      <c r="I182" s="793"/>
    </row>
    <row r="183" spans="1:9" s="782" customFormat="1" ht="11.25" x14ac:dyDescent="0.2">
      <c r="A183" s="787"/>
      <c r="F183" s="796"/>
      <c r="I183" s="793"/>
    </row>
    <row r="184" spans="1:9" s="782" customFormat="1" ht="11.25" x14ac:dyDescent="0.2">
      <c r="A184" s="787"/>
      <c r="F184" s="796"/>
      <c r="I184" s="793"/>
    </row>
    <row r="185" spans="1:9" s="782" customFormat="1" ht="11.25" x14ac:dyDescent="0.2">
      <c r="A185" s="787"/>
      <c r="F185" s="796"/>
      <c r="I185" s="793"/>
    </row>
    <row r="186" spans="1:9" s="782" customFormat="1" ht="11.25" x14ac:dyDescent="0.2">
      <c r="A186" s="787"/>
      <c r="F186" s="796"/>
      <c r="I186" s="793"/>
    </row>
    <row r="187" spans="1:9" s="782" customFormat="1" ht="11.25" x14ac:dyDescent="0.2">
      <c r="A187" s="787"/>
      <c r="F187" s="796"/>
      <c r="I187" s="793"/>
    </row>
    <row r="188" spans="1:9" s="782" customFormat="1" ht="11.25" x14ac:dyDescent="0.2">
      <c r="A188" s="787"/>
      <c r="F188" s="796"/>
      <c r="I188" s="793"/>
    </row>
    <row r="189" spans="1:9" s="782" customFormat="1" ht="11.25" x14ac:dyDescent="0.2">
      <c r="A189" s="787"/>
      <c r="F189" s="796"/>
      <c r="I189" s="793"/>
    </row>
    <row r="190" spans="1:9" s="782" customFormat="1" ht="11.25" x14ac:dyDescent="0.2">
      <c r="A190" s="787"/>
      <c r="F190" s="796"/>
      <c r="I190" s="793"/>
    </row>
    <row r="191" spans="1:9" s="782" customFormat="1" ht="11.25" x14ac:dyDescent="0.2">
      <c r="A191" s="787"/>
      <c r="F191" s="796"/>
      <c r="I191" s="793"/>
    </row>
    <row r="192" spans="1:9"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sheetData>
  <sheetProtection algorithmName="SHA-512" hashValue="XiBTraCCUvxuNKOHoW4Xq8cd1nTB6OfGpkdBJHtdM6mB2ADKBXjTrM8FSEBTwdy+P/kl3TdSQ/yVeq2KLwqzjQ==" saltValue="cJQ36uc5eolWhMvHmPiWSw==" spinCount="100000" sheet="1" objects="1" scenarios="1"/>
  <conditionalFormatting sqref="G46">
    <cfRule type="cellIs" dxfId="11" priority="9" operator="equal">
      <formula>"""ONWAAR"""</formula>
    </cfRule>
    <cfRule type="cellIs" dxfId="10" priority="10" operator="equal">
      <formula>"WAAR"</formula>
    </cfRule>
  </conditionalFormatting>
  <conditionalFormatting sqref="G49">
    <cfRule type="cellIs" dxfId="9" priority="7" operator="equal">
      <formula>"""ONWAAR"""</formula>
    </cfRule>
    <cfRule type="cellIs" dxfId="8" priority="8" operator="equal">
      <formula>"WAAR"</formula>
    </cfRule>
  </conditionalFormatting>
  <conditionalFormatting sqref="G53">
    <cfRule type="cellIs" dxfId="7" priority="5" operator="equal">
      <formula>"""ONWAAR"""</formula>
    </cfRule>
    <cfRule type="cellIs" dxfId="6" priority="6" operator="equal">
      <formula>"WAAR"</formula>
    </cfRule>
  </conditionalFormatting>
  <conditionalFormatting sqref="I77 E77">
    <cfRule type="cellIs" dxfId="5" priority="4" operator="equal">
      <formula>"""""NADER TOELICHTEN IN PROJECTPLAN"""""</formula>
    </cfRule>
  </conditionalFormatting>
  <conditionalFormatting sqref="G61">
    <cfRule type="cellIs" dxfId="4" priority="1" operator="equal">
      <formula>"""ONWAAR"""</formula>
    </cfRule>
    <cfRule type="cellIs" dxfId="3" priority="2" operator="equal">
      <formula>"WAAR"</formula>
    </cfRule>
  </conditionalFormatting>
  <dataValidations disablePrompts="1" count="9">
    <dataValidation allowBlank="1" showInputMessage="1" showErrorMessage="1" promptTitle="Bronkosten ZLT" prompt="Voer hier alleen kosten in als er sprake is van een ZLT-net. Bij HT-, MT- en LT-netten wordt gerekend met een vaste marge tussen in- en verkoop van warmte en dient hier een waarde van 0 te worden ingevoerd." sqref="G76" xr:uid="{FA79ECC4-2DF1-4902-980B-53B28EB7E693}"/>
    <dataValidation allowBlank="1" showInputMessage="1" showErrorMessage="1" prompt="Gemiddelde bijdrage in kosten door de gebouweigenaar. Indien eerder SAH-subsidie is aangevraagd dan gebruik je voor die woningen dezelfde aansluitbijdrage als bij de SAH-aanvraag." sqref="G38" xr:uid="{929A8072-6786-4DDF-894B-D0111BAD51E7}"/>
    <dataValidation type="list" allowBlank="1" showInputMessage="1" showErrorMessage="1" sqref="G27" xr:uid="{7A355089-D48E-4DA7-BB54-0FABABFD0957}">
      <formula1>$CG$1:$CG$2</formula1>
    </dataValidation>
    <dataValidation allowBlank="1" showInputMessage="1" showErrorMessage="1" prompt="Gemiddelde aansluitkosten. Scope: aftakking distributienet tot afleverset (inclusief aansluitleiding)" sqref="G56" xr:uid="{58869DA0-F9B7-427C-B879-2048F8B09900}"/>
    <dataValidation allowBlank="1" showInputMessage="1" showErrorMessage="1" prompt="Scope: aftakking distributienet tot afleverset (inclusief aansluitleiding)" sqref="G55" xr:uid="{32FDA7BB-78EB-4E73-8715-40EB2D890FDB}"/>
    <dataValidation allowBlank="1" showInputMessage="1" showErrorMessage="1" prompt="Marge inkoopkosten minus levering. Dit geldt alleen bij MT- en LT-netten. Bij ZLT-netten worden de inkoop- en productiekosten van warmte separaat opgegeven." sqref="G41" xr:uid="{5D671D39-DFA3-4ED9-B360-BDFEE42C4452}"/>
    <dataValidation allowBlank="1" showInputMessage="1" showErrorMessage="1" prompt="Indien de afleverset wordt gehuurd bij de warmteleverancier hier de jaarljikse vergoeding ingeven." sqref="G40" xr:uid="{0AA3A8F6-2948-4289-9F07-5E37AD3E3DB3}"/>
    <dataValidation allowBlank="1" showInputMessage="1" showErrorMessage="1" prompt="Totale vaste jaarlijkse kosten voor bewoner en/of gebouweigenaar." sqref="G39" xr:uid="{58EC40BA-0E3B-4096-B0B2-41FBFF7EC8F6}"/>
    <dataValidation allowBlank="1" showInputMessage="1" showErrorMessage="1" prompt="Projectrendement na belastingen" sqref="G33" xr:uid="{00E54D43-4E26-467F-BBE2-5C949245C14C}"/>
  </dataValidations>
  <pageMargins left="0.74803149606299213" right="0.74803149606299213" top="0.74803149606299213" bottom="0.74803149606299213" header="0.31496062992125984" footer="0.31496062992125984"/>
  <pageSetup paperSize="9" scale="46" orientation="landscape" r:id="rId1"/>
  <extLst>
    <ext xmlns:x14="http://schemas.microsoft.com/office/spreadsheetml/2009/9/main" uri="{78C0D931-6437-407d-A8EE-F0AAD7539E65}">
      <x14:conditionalFormattings>
        <x14:conditionalFormatting xmlns:xm="http://schemas.microsoft.com/office/excel/2006/main">
          <x14:cfRule type="expression" priority="3" id="{D9D9B9FB-8C51-4EF1-8CA2-4E1D011EFCA6}">
            <xm:f>$G$20=ORT_Lijsten!$B$4</xm:f>
            <x14:dxf>
              <fill>
                <patternFill>
                  <bgColor rgb="FFFFFF99"/>
                </patternFill>
              </fill>
            </x14:dxf>
          </x14:cfRule>
          <xm:sqref>G76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Temperatuur levering klant" prompt="HT / MT: warmte direct geschikt voor ruimteverwarming en warm tapwater_x000a_LT: warmte direct geschikt voor alleen ruimteverwarming_x000a_ZLT: warmte niet direct geschikt voor ruimteverwarming en warm tapwater. " xr:uid="{920E8619-24A1-4F1F-A6E5-35053220BDD2}">
          <x14:formula1>
            <xm:f>ORT_Lijsten!$B$2:$B$4</xm:f>
          </x14:formula1>
          <xm:sqref>G20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16C9A-1588-4A5A-B0C6-363DEF8F5363}">
  <sheetPr codeName="Sheet9">
    <tabColor rgb="FFFFFF00"/>
  </sheetPr>
  <dimension ref="A1:CL699"/>
  <sheetViews>
    <sheetView showGridLines="0" zoomScale="85" zoomScaleNormal="85" zoomScaleSheetLayoutView="70" workbookViewId="0">
      <selection activeCell="K53" sqref="K53"/>
    </sheetView>
  </sheetViews>
  <sheetFormatPr defaultColWidth="0" defaultRowHeight="14.25" zeroHeight="1" outlineLevelRow="1" x14ac:dyDescent="0.2"/>
  <cols>
    <col min="1" max="1" width="1.5703125" style="760" customWidth="1"/>
    <col min="2" max="2" width="8.5703125" style="746" customWidth="1"/>
    <col min="3" max="3" width="10" style="746" customWidth="1"/>
    <col min="4" max="4" width="5.7109375" style="746" customWidth="1"/>
    <col min="5" max="5" width="17.28515625" style="746" customWidth="1"/>
    <col min="6" max="6" width="57.5703125" style="746" customWidth="1"/>
    <col min="7" max="8" width="17" style="746" customWidth="1"/>
    <col min="9" max="11" width="17" style="775" customWidth="1"/>
    <col min="12" max="13" width="17" style="766" customWidth="1"/>
    <col min="14" max="14" width="17" style="746" customWidth="1"/>
    <col min="15" max="15" width="3.28515625" style="746" customWidth="1"/>
    <col min="16" max="16" width="23" style="746" customWidth="1"/>
    <col min="17" max="17" width="21.28515625" style="746" bestFit="1" customWidth="1"/>
    <col min="18" max="18" width="8.28515625" style="746" customWidth="1"/>
    <col min="19" max="19" width="7.28515625" style="757" customWidth="1"/>
    <col min="20" max="20" width="19.7109375" style="746" customWidth="1"/>
    <col min="21" max="21" width="11.28515625" style="746" customWidth="1"/>
    <col min="22" max="51" width="10.7109375" style="746" customWidth="1"/>
    <col min="52" max="90" width="0" style="746" hidden="1" customWidth="1"/>
    <col min="91" max="16384" width="8.5703125" style="746" hidden="1"/>
  </cols>
  <sheetData>
    <row r="1" spans="1:51" x14ac:dyDescent="0.2">
      <c r="A1" s="742"/>
      <c r="B1" s="743"/>
      <c r="C1" s="743"/>
      <c r="D1" s="743"/>
      <c r="E1" s="743"/>
      <c r="F1" s="743"/>
      <c r="G1" s="743"/>
      <c r="H1" s="743"/>
      <c r="I1" s="768"/>
      <c r="J1" s="768"/>
      <c r="K1" s="768"/>
      <c r="L1" s="743"/>
      <c r="M1" s="743"/>
      <c r="N1" s="743"/>
      <c r="O1" s="743"/>
      <c r="P1" s="743"/>
      <c r="Q1" s="743"/>
      <c r="R1" s="743"/>
      <c r="S1" s="745"/>
    </row>
    <row r="2" spans="1:51" s="752" customFormat="1" ht="23.65" customHeight="1" x14ac:dyDescent="0.2">
      <c r="A2" s="747" t="s">
        <v>513</v>
      </c>
      <c r="B2" s="748"/>
      <c r="C2" s="749"/>
      <c r="D2" s="749"/>
      <c r="E2" s="749"/>
      <c r="F2" s="749"/>
      <c r="G2" s="749"/>
      <c r="H2" s="749"/>
      <c r="I2" s="769"/>
      <c r="J2" s="769"/>
      <c r="K2" s="769"/>
      <c r="L2" s="749"/>
      <c r="M2" s="749"/>
      <c r="N2" s="749"/>
      <c r="O2" s="749"/>
      <c r="P2" s="749"/>
      <c r="Q2" s="749"/>
      <c r="R2" s="749"/>
      <c r="S2" s="751"/>
    </row>
    <row r="3" spans="1:51" ht="15" thickBot="1" x14ac:dyDescent="0.25">
      <c r="A3" s="753"/>
      <c r="B3" s="754"/>
      <c r="C3" s="755"/>
      <c r="D3" s="755"/>
      <c r="E3" s="755"/>
      <c r="F3" s="755"/>
      <c r="G3" s="755"/>
      <c r="H3" s="755"/>
      <c r="I3" s="770"/>
      <c r="J3" s="770"/>
      <c r="K3" s="770"/>
      <c r="L3" s="755"/>
      <c r="M3" s="755"/>
      <c r="N3" s="755"/>
      <c r="O3" s="755"/>
      <c r="P3" s="755"/>
      <c r="Q3" s="755"/>
      <c r="R3" s="755"/>
    </row>
    <row r="4" spans="1:51" ht="15" thickBot="1" x14ac:dyDescent="0.2">
      <c r="A4" s="560" t="s">
        <v>103</v>
      </c>
      <c r="B4" s="633"/>
      <c r="C4" s="561"/>
      <c r="D4" s="561"/>
      <c r="E4" s="561"/>
      <c r="F4" s="561"/>
      <c r="G4" s="561"/>
      <c r="H4" s="562"/>
      <c r="I4" s="627"/>
      <c r="J4" s="628"/>
      <c r="K4" s="628"/>
      <c r="L4" s="628"/>
      <c r="M4" s="755"/>
      <c r="N4" s="755"/>
      <c r="O4" s="755"/>
      <c r="P4" s="755"/>
      <c r="Q4" s="755"/>
      <c r="R4" s="755"/>
    </row>
    <row r="5" spans="1:51" x14ac:dyDescent="0.15">
      <c r="A5" s="577" t="s">
        <v>499</v>
      </c>
      <c r="B5" s="634"/>
      <c r="C5" s="578"/>
      <c r="D5" s="578"/>
      <c r="E5" s="578"/>
      <c r="F5" s="578"/>
      <c r="G5" s="578"/>
      <c r="H5" s="579"/>
      <c r="I5" s="629"/>
      <c r="J5" s="438"/>
      <c r="K5" s="438"/>
      <c r="L5" s="438"/>
      <c r="M5" s="755"/>
      <c r="N5" s="755"/>
      <c r="O5" s="755"/>
      <c r="P5" s="755"/>
      <c r="Q5" s="755"/>
      <c r="R5" s="755"/>
    </row>
    <row r="6" spans="1:51" x14ac:dyDescent="0.15">
      <c r="A6" s="580" t="s">
        <v>498</v>
      </c>
      <c r="B6" s="635"/>
      <c r="C6" s="581"/>
      <c r="D6" s="581"/>
      <c r="E6" s="581"/>
      <c r="F6" s="581"/>
      <c r="G6" s="581"/>
      <c r="H6" s="582"/>
      <c r="I6" s="629"/>
      <c r="J6" s="438"/>
      <c r="K6" s="438"/>
      <c r="L6" s="438"/>
      <c r="M6" s="755"/>
      <c r="N6" s="755"/>
      <c r="O6" s="755"/>
      <c r="P6" s="755"/>
      <c r="Q6" s="755"/>
      <c r="R6" s="755"/>
    </row>
    <row r="7" spans="1:51" x14ac:dyDescent="0.15">
      <c r="A7" s="580" t="s">
        <v>521</v>
      </c>
      <c r="B7" s="635"/>
      <c r="C7" s="581"/>
      <c r="D7" s="581"/>
      <c r="E7" s="581"/>
      <c r="F7" s="581"/>
      <c r="G7" s="581"/>
      <c r="H7" s="582"/>
      <c r="I7" s="629"/>
      <c r="J7" s="438"/>
      <c r="K7" s="438"/>
      <c r="L7" s="438"/>
      <c r="M7" s="755"/>
      <c r="N7" s="755"/>
      <c r="O7" s="755"/>
      <c r="P7" s="755"/>
      <c r="Q7" s="755"/>
      <c r="R7" s="755"/>
    </row>
    <row r="8" spans="1:51" x14ac:dyDescent="0.15">
      <c r="A8" s="580" t="s">
        <v>522</v>
      </c>
      <c r="B8" s="635"/>
      <c r="C8" s="581"/>
      <c r="D8" s="581"/>
      <c r="E8" s="581"/>
      <c r="F8" s="581"/>
      <c r="G8" s="581"/>
      <c r="H8" s="582"/>
      <c r="I8" s="629"/>
      <c r="J8" s="438"/>
      <c r="K8" s="438"/>
      <c r="L8" s="438"/>
      <c r="M8" s="755"/>
      <c r="N8" s="755"/>
      <c r="O8" s="755"/>
      <c r="P8" s="755"/>
      <c r="Q8" s="755"/>
      <c r="R8" s="755"/>
    </row>
    <row r="9" spans="1:51" x14ac:dyDescent="0.15">
      <c r="A9" s="580" t="s">
        <v>509</v>
      </c>
      <c r="B9" s="635"/>
      <c r="C9" s="581"/>
      <c r="D9" s="581"/>
      <c r="E9" s="581"/>
      <c r="F9" s="581"/>
      <c r="G9" s="581"/>
      <c r="H9" s="582"/>
      <c r="I9" s="629"/>
      <c r="J9" s="438"/>
      <c r="K9" s="438"/>
      <c r="L9" s="438"/>
      <c r="M9" s="755"/>
      <c r="N9" s="755"/>
      <c r="O9" s="755"/>
      <c r="P9" s="755"/>
      <c r="Q9" s="755"/>
      <c r="R9" s="755"/>
    </row>
    <row r="10" spans="1:51" x14ac:dyDescent="0.15">
      <c r="A10" s="580" t="s">
        <v>510</v>
      </c>
      <c r="B10" s="635"/>
      <c r="C10" s="581"/>
      <c r="D10" s="581"/>
      <c r="E10" s="581"/>
      <c r="F10" s="581"/>
      <c r="G10" s="581"/>
      <c r="H10" s="582"/>
      <c r="I10" s="629"/>
      <c r="J10" s="438"/>
      <c r="K10" s="438"/>
      <c r="L10" s="438"/>
      <c r="M10" s="755"/>
      <c r="N10" s="755"/>
      <c r="O10" s="755"/>
      <c r="P10" s="755"/>
      <c r="Q10" s="755"/>
      <c r="R10" s="755"/>
    </row>
    <row r="11" spans="1:51" x14ac:dyDescent="0.15">
      <c r="A11" s="580" t="s">
        <v>511</v>
      </c>
      <c r="B11" s="635"/>
      <c r="C11" s="581"/>
      <c r="D11" s="581"/>
      <c r="E11" s="581"/>
      <c r="F11" s="581"/>
      <c r="G11" s="581"/>
      <c r="H11" s="582"/>
      <c r="I11" s="629"/>
      <c r="J11" s="438"/>
      <c r="K11" s="438"/>
      <c r="L11" s="438"/>
      <c r="M11" s="755"/>
      <c r="N11" s="755"/>
      <c r="O11" s="755"/>
      <c r="P11" s="755"/>
      <c r="Q11" s="755"/>
      <c r="R11" s="755"/>
    </row>
    <row r="12" spans="1:51" x14ac:dyDescent="0.15">
      <c r="A12" s="580" t="s">
        <v>512</v>
      </c>
      <c r="B12" s="635"/>
      <c r="C12" s="581"/>
      <c r="D12" s="581"/>
      <c r="E12" s="581"/>
      <c r="F12" s="581"/>
      <c r="G12" s="581"/>
      <c r="H12" s="582"/>
      <c r="I12" s="629"/>
      <c r="J12" s="438"/>
      <c r="K12" s="438"/>
      <c r="L12" s="438"/>
      <c r="M12" s="755"/>
      <c r="N12" s="755"/>
      <c r="O12" s="755"/>
      <c r="P12" s="755"/>
      <c r="Q12" s="755"/>
      <c r="R12" s="755"/>
    </row>
    <row r="13" spans="1:51" x14ac:dyDescent="0.15">
      <c r="A13" s="580" t="s">
        <v>508</v>
      </c>
      <c r="B13" s="635"/>
      <c r="C13" s="581"/>
      <c r="D13" s="581"/>
      <c r="E13" s="581"/>
      <c r="F13" s="581"/>
      <c r="G13" s="581"/>
      <c r="H13" s="582"/>
      <c r="I13" s="629"/>
      <c r="J13" s="438"/>
      <c r="K13" s="438"/>
      <c r="L13" s="438"/>
      <c r="M13" s="755"/>
      <c r="N13" s="755"/>
      <c r="O13" s="755"/>
      <c r="P13" s="755"/>
      <c r="Q13" s="755"/>
      <c r="R13" s="755"/>
    </row>
    <row r="14" spans="1:51" ht="15" thickBot="1" x14ac:dyDescent="0.2">
      <c r="A14" s="580" t="s">
        <v>507</v>
      </c>
      <c r="B14" s="636"/>
      <c r="C14" s="583"/>
      <c r="D14" s="583"/>
      <c r="E14" s="583"/>
      <c r="F14" s="583"/>
      <c r="G14" s="583"/>
      <c r="H14" s="618"/>
      <c r="I14" s="629"/>
      <c r="J14" s="438"/>
      <c r="K14" s="438"/>
      <c r="L14" s="438"/>
      <c r="M14" s="755"/>
      <c r="N14" s="755"/>
      <c r="O14" s="755"/>
      <c r="P14" s="755"/>
      <c r="Q14" s="755"/>
      <c r="R14" s="755"/>
    </row>
    <row r="15" spans="1:51" x14ac:dyDescent="0.2">
      <c r="A15" s="758"/>
      <c r="B15" s="754"/>
      <c r="C15" s="755"/>
      <c r="D15" s="755"/>
      <c r="E15" s="755"/>
      <c r="F15" s="755"/>
      <c r="G15" s="755"/>
      <c r="H15" s="755"/>
      <c r="I15" s="770"/>
      <c r="J15" s="770"/>
      <c r="K15" s="770"/>
      <c r="L15" s="755"/>
      <c r="M15" s="755"/>
      <c r="N15" s="755"/>
      <c r="O15" s="755"/>
      <c r="P15" s="755"/>
      <c r="Q15" s="755"/>
      <c r="R15" s="755"/>
    </row>
    <row r="16" spans="1:51" s="774" customFormat="1" ht="14.85" customHeight="1" x14ac:dyDescent="0.2">
      <c r="A16" s="771" t="s">
        <v>318</v>
      </c>
      <c r="B16" s="771"/>
      <c r="C16" s="771"/>
      <c r="D16" s="771"/>
      <c r="E16" s="771"/>
      <c r="F16" s="771"/>
      <c r="G16" s="771"/>
      <c r="H16" s="771"/>
      <c r="I16" s="772"/>
      <c r="J16" s="772"/>
      <c r="K16" s="772"/>
      <c r="L16" s="771"/>
      <c r="M16" s="771"/>
      <c r="N16" s="771"/>
      <c r="O16" s="771"/>
      <c r="P16" s="771"/>
      <c r="Q16" s="771"/>
      <c r="R16" s="771"/>
      <c r="S16" s="773"/>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771"/>
    </row>
    <row r="17" spans="1:51" ht="14.85" customHeight="1" x14ac:dyDescent="0.2">
      <c r="A17" s="753"/>
      <c r="B17" s="755"/>
      <c r="C17" s="755"/>
      <c r="D17" s="755"/>
      <c r="E17" s="755"/>
      <c r="F17" s="755"/>
      <c r="G17" s="755"/>
      <c r="H17" s="755"/>
      <c r="I17" s="770"/>
      <c r="J17" s="770"/>
      <c r="K17" s="770"/>
      <c r="L17" s="755"/>
      <c r="M17" s="755"/>
      <c r="N17" s="755"/>
      <c r="O17" s="755"/>
      <c r="P17" s="755"/>
      <c r="Q17" s="755"/>
      <c r="R17" s="755"/>
    </row>
    <row r="18" spans="1:51" ht="14.85" customHeight="1" x14ac:dyDescent="0.2">
      <c r="A18" s="758"/>
      <c r="B18" s="755"/>
      <c r="C18" s="755"/>
      <c r="D18" s="755"/>
      <c r="E18" s="755"/>
      <c r="F18" s="755"/>
      <c r="G18" s="755"/>
      <c r="H18" s="755"/>
      <c r="I18" s="770"/>
      <c r="J18" s="770"/>
      <c r="K18" s="770"/>
      <c r="L18" s="755"/>
      <c r="M18" s="755"/>
      <c r="N18" s="755"/>
      <c r="O18" s="755"/>
      <c r="P18" s="755"/>
      <c r="Q18" s="755"/>
      <c r="R18" s="755"/>
    </row>
    <row r="19" spans="1:51" s="782" customFormat="1" ht="14.85" customHeight="1" x14ac:dyDescent="0.2">
      <c r="A19" s="787"/>
      <c r="B19" s="858" t="s">
        <v>316</v>
      </c>
      <c r="C19" s="859"/>
      <c r="D19" s="859"/>
      <c r="E19" s="859"/>
      <c r="F19" s="859"/>
      <c r="G19" s="858" t="s">
        <v>207</v>
      </c>
      <c r="H19" s="858" t="s">
        <v>206</v>
      </c>
      <c r="I19" s="860" t="s">
        <v>289</v>
      </c>
      <c r="J19" s="860" t="s">
        <v>288</v>
      </c>
      <c r="K19" s="860"/>
      <c r="L19" s="865" t="s">
        <v>287</v>
      </c>
      <c r="M19" s="865" t="s">
        <v>212</v>
      </c>
      <c r="N19" s="865" t="s">
        <v>317</v>
      </c>
      <c r="O19" s="859"/>
      <c r="P19" s="859"/>
      <c r="Q19" s="859"/>
      <c r="R19" s="783"/>
      <c r="S19" s="784"/>
      <c r="U19" s="791">
        <f>$G$22</f>
        <v>1900</v>
      </c>
      <c r="V19" s="791">
        <f t="shared" ref="V19:AY19" si="0" xml:space="preserve"> U19 + 1</f>
        <v>1901</v>
      </c>
      <c r="W19" s="791">
        <f t="shared" si="0"/>
        <v>1902</v>
      </c>
      <c r="X19" s="791">
        <f t="shared" si="0"/>
        <v>1903</v>
      </c>
      <c r="Y19" s="791">
        <f t="shared" si="0"/>
        <v>1904</v>
      </c>
      <c r="Z19" s="791">
        <f t="shared" si="0"/>
        <v>1905</v>
      </c>
      <c r="AA19" s="791">
        <f t="shared" si="0"/>
        <v>1906</v>
      </c>
      <c r="AB19" s="791">
        <f t="shared" si="0"/>
        <v>1907</v>
      </c>
      <c r="AC19" s="791">
        <f t="shared" si="0"/>
        <v>1908</v>
      </c>
      <c r="AD19" s="791">
        <f t="shared" si="0"/>
        <v>1909</v>
      </c>
      <c r="AE19" s="791">
        <f t="shared" si="0"/>
        <v>1910</v>
      </c>
      <c r="AF19" s="791">
        <f t="shared" si="0"/>
        <v>1911</v>
      </c>
      <c r="AG19" s="791">
        <f t="shared" si="0"/>
        <v>1912</v>
      </c>
      <c r="AH19" s="791">
        <f t="shared" si="0"/>
        <v>1913</v>
      </c>
      <c r="AI19" s="791">
        <f t="shared" si="0"/>
        <v>1914</v>
      </c>
      <c r="AJ19" s="791">
        <f t="shared" si="0"/>
        <v>1915</v>
      </c>
      <c r="AK19" s="791">
        <f t="shared" si="0"/>
        <v>1916</v>
      </c>
      <c r="AL19" s="791">
        <f t="shared" si="0"/>
        <v>1917</v>
      </c>
      <c r="AM19" s="791">
        <f t="shared" si="0"/>
        <v>1918</v>
      </c>
      <c r="AN19" s="791">
        <f t="shared" si="0"/>
        <v>1919</v>
      </c>
      <c r="AO19" s="791">
        <f t="shared" si="0"/>
        <v>1920</v>
      </c>
      <c r="AP19" s="791">
        <f t="shared" si="0"/>
        <v>1921</v>
      </c>
      <c r="AQ19" s="791">
        <f t="shared" si="0"/>
        <v>1922</v>
      </c>
      <c r="AR19" s="791">
        <f t="shared" si="0"/>
        <v>1923</v>
      </c>
      <c r="AS19" s="791">
        <f t="shared" si="0"/>
        <v>1924</v>
      </c>
      <c r="AT19" s="791">
        <f t="shared" si="0"/>
        <v>1925</v>
      </c>
      <c r="AU19" s="791">
        <f t="shared" si="0"/>
        <v>1926</v>
      </c>
      <c r="AV19" s="791">
        <f t="shared" si="0"/>
        <v>1927</v>
      </c>
      <c r="AW19" s="791">
        <f t="shared" si="0"/>
        <v>1928</v>
      </c>
      <c r="AX19" s="791">
        <f t="shared" si="0"/>
        <v>1929</v>
      </c>
      <c r="AY19" s="791">
        <f t="shared" si="0"/>
        <v>1930</v>
      </c>
    </row>
    <row r="20" spans="1:51" s="782" customFormat="1" ht="14.85" customHeight="1" x14ac:dyDescent="0.2">
      <c r="A20" s="787"/>
      <c r="E20" s="783"/>
      <c r="O20" s="783"/>
      <c r="R20" s="783"/>
      <c r="S20" s="784"/>
    </row>
    <row r="21" spans="1:51" s="782" customFormat="1" ht="14.85" customHeight="1" x14ac:dyDescent="0.2">
      <c r="A21" s="787"/>
      <c r="C21" s="792" t="s">
        <v>316</v>
      </c>
      <c r="E21" s="783"/>
      <c r="I21" s="861"/>
      <c r="J21" s="861"/>
      <c r="K21" s="861"/>
      <c r="L21" s="793"/>
      <c r="M21" s="793"/>
      <c r="O21" s="783"/>
      <c r="R21" s="783"/>
      <c r="S21" s="784"/>
    </row>
    <row r="22" spans="1:51" s="782" customFormat="1" ht="14.85" customHeight="1" x14ac:dyDescent="0.2">
      <c r="A22" s="787"/>
      <c r="C22" s="792"/>
      <c r="E22" s="783"/>
      <c r="F22" s="782" t="s">
        <v>497</v>
      </c>
      <c r="G22" s="862">
        <f>YEAR(Startdatum)</f>
        <v>1900</v>
      </c>
      <c r="H22" s="782" t="s">
        <v>315</v>
      </c>
      <c r="I22" s="861"/>
      <c r="J22" s="861"/>
      <c r="K22" s="861"/>
      <c r="L22" s="793"/>
      <c r="M22" s="793"/>
      <c r="O22" s="783"/>
      <c r="R22" s="783"/>
      <c r="S22" s="784"/>
    </row>
    <row r="23" spans="1:51" s="782" customFormat="1" ht="14.85" customHeight="1" x14ac:dyDescent="0.2">
      <c r="A23" s="787"/>
      <c r="E23" s="783"/>
      <c r="F23" s="782" t="s">
        <v>314</v>
      </c>
      <c r="G23" s="863">
        <v>30</v>
      </c>
      <c r="H23" s="782" t="s">
        <v>274</v>
      </c>
      <c r="I23" s="861">
        <v>30</v>
      </c>
      <c r="J23" s="861"/>
      <c r="K23" s="861"/>
      <c r="L23" s="793"/>
      <c r="M23" s="793"/>
      <c r="O23" s="783"/>
      <c r="R23" s="783"/>
      <c r="S23" s="784"/>
      <c r="U23" s="864">
        <f t="shared" ref="U23:AY23" si="1">(U$19&gt;$G$22)*(U$19&lt;=$G$22+$G$23)*1</f>
        <v>0</v>
      </c>
      <c r="V23" s="864">
        <f t="shared" si="1"/>
        <v>1</v>
      </c>
      <c r="W23" s="864">
        <f t="shared" si="1"/>
        <v>1</v>
      </c>
      <c r="X23" s="864">
        <f t="shared" si="1"/>
        <v>1</v>
      </c>
      <c r="Y23" s="864">
        <f t="shared" si="1"/>
        <v>1</v>
      </c>
      <c r="Z23" s="864">
        <f t="shared" si="1"/>
        <v>1</v>
      </c>
      <c r="AA23" s="864">
        <f t="shared" si="1"/>
        <v>1</v>
      </c>
      <c r="AB23" s="864">
        <f t="shared" si="1"/>
        <v>1</v>
      </c>
      <c r="AC23" s="864">
        <f t="shared" si="1"/>
        <v>1</v>
      </c>
      <c r="AD23" s="864">
        <f t="shared" si="1"/>
        <v>1</v>
      </c>
      <c r="AE23" s="864">
        <f t="shared" si="1"/>
        <v>1</v>
      </c>
      <c r="AF23" s="864">
        <f t="shared" si="1"/>
        <v>1</v>
      </c>
      <c r="AG23" s="864">
        <f t="shared" si="1"/>
        <v>1</v>
      </c>
      <c r="AH23" s="864">
        <f t="shared" si="1"/>
        <v>1</v>
      </c>
      <c r="AI23" s="864">
        <f t="shared" si="1"/>
        <v>1</v>
      </c>
      <c r="AJ23" s="864">
        <f t="shared" si="1"/>
        <v>1</v>
      </c>
      <c r="AK23" s="864">
        <f t="shared" si="1"/>
        <v>1</v>
      </c>
      <c r="AL23" s="864">
        <f t="shared" si="1"/>
        <v>1</v>
      </c>
      <c r="AM23" s="864">
        <f t="shared" si="1"/>
        <v>1</v>
      </c>
      <c r="AN23" s="864">
        <f t="shared" si="1"/>
        <v>1</v>
      </c>
      <c r="AO23" s="864">
        <f t="shared" si="1"/>
        <v>1</v>
      </c>
      <c r="AP23" s="864">
        <f t="shared" si="1"/>
        <v>1</v>
      </c>
      <c r="AQ23" s="864">
        <f t="shared" si="1"/>
        <v>1</v>
      </c>
      <c r="AR23" s="864">
        <f t="shared" si="1"/>
        <v>1</v>
      </c>
      <c r="AS23" s="864">
        <f t="shared" si="1"/>
        <v>1</v>
      </c>
      <c r="AT23" s="864">
        <f t="shared" si="1"/>
        <v>1</v>
      </c>
      <c r="AU23" s="864">
        <f t="shared" si="1"/>
        <v>1</v>
      </c>
      <c r="AV23" s="864">
        <f t="shared" si="1"/>
        <v>1</v>
      </c>
      <c r="AW23" s="864">
        <f t="shared" si="1"/>
        <v>1</v>
      </c>
      <c r="AX23" s="864">
        <f t="shared" si="1"/>
        <v>1</v>
      </c>
      <c r="AY23" s="864">
        <f t="shared" si="1"/>
        <v>1</v>
      </c>
    </row>
    <row r="24" spans="1:51" ht="14.85" hidden="1" customHeight="1" x14ac:dyDescent="0.2">
      <c r="C24" s="767"/>
      <c r="D24" s="755"/>
      <c r="E24" s="755"/>
      <c r="F24" s="755" t="s">
        <v>313</v>
      </c>
      <c r="G24" s="776" t="s">
        <v>312</v>
      </c>
      <c r="H24" s="755"/>
      <c r="I24" s="777" t="e">
        <f>#REF!</f>
        <v>#REF!</v>
      </c>
      <c r="J24" s="778"/>
      <c r="K24" s="779"/>
      <c r="L24" s="780"/>
      <c r="O24" s="755"/>
      <c r="R24" s="755"/>
    </row>
    <row r="25" spans="1:51" ht="14.85" customHeight="1" x14ac:dyDescent="0.2">
      <c r="E25" s="755"/>
      <c r="I25" s="746"/>
      <c r="J25" s="746"/>
      <c r="K25" s="746"/>
      <c r="L25" s="746"/>
      <c r="M25" s="746"/>
      <c r="O25" s="755"/>
      <c r="R25" s="755"/>
    </row>
    <row r="26" spans="1:51" ht="14.85" customHeight="1" x14ac:dyDescent="0.2">
      <c r="E26" s="755"/>
      <c r="I26" s="746"/>
      <c r="J26" s="746"/>
      <c r="K26" s="746"/>
      <c r="L26" s="746"/>
      <c r="M26" s="746"/>
      <c r="O26" s="755"/>
      <c r="R26" s="755"/>
    </row>
    <row r="27" spans="1:51" s="774" customFormat="1" ht="14.85" customHeight="1" x14ac:dyDescent="0.2">
      <c r="A27" s="771" t="s">
        <v>311</v>
      </c>
      <c r="B27" s="771"/>
      <c r="C27" s="771"/>
      <c r="D27" s="771"/>
      <c r="E27" s="771"/>
      <c r="F27" s="771"/>
      <c r="G27" s="771"/>
      <c r="H27" s="771"/>
      <c r="I27" s="772"/>
      <c r="J27" s="772"/>
      <c r="K27" s="772"/>
      <c r="L27" s="771"/>
      <c r="M27" s="771"/>
      <c r="N27" s="771"/>
      <c r="O27" s="771"/>
      <c r="P27" s="771"/>
      <c r="Q27" s="771"/>
      <c r="R27" s="771"/>
      <c r="S27" s="773"/>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row>
    <row r="28" spans="1:51" ht="14.85" customHeight="1" x14ac:dyDescent="0.2">
      <c r="A28" s="755"/>
      <c r="B28" s="755"/>
      <c r="C28" s="755"/>
      <c r="D28" s="755"/>
      <c r="E28" s="755"/>
      <c r="F28" s="755"/>
      <c r="G28" s="755"/>
      <c r="H28" s="755"/>
      <c r="I28" s="755"/>
      <c r="J28" s="755"/>
      <c r="K28" s="755"/>
      <c r="L28" s="755"/>
      <c r="M28" s="755"/>
      <c r="N28" s="755"/>
      <c r="O28" s="755"/>
      <c r="P28" s="767" t="s">
        <v>310</v>
      </c>
      <c r="Q28" s="755"/>
      <c r="R28" s="755"/>
    </row>
    <row r="29" spans="1:51" s="782" customFormat="1" ht="14.85" customHeight="1" x14ac:dyDescent="0.2">
      <c r="A29" s="786"/>
      <c r="B29" s="788" t="s">
        <v>309</v>
      </c>
      <c r="C29" s="788"/>
      <c r="D29" s="788"/>
      <c r="E29" s="788"/>
      <c r="F29" s="788" t="s">
        <v>307</v>
      </c>
      <c r="G29" s="874">
        <f>$G$22</f>
        <v>1900</v>
      </c>
      <c r="H29" s="874">
        <f t="shared" ref="H29:N29" si="2">G29+1</f>
        <v>1901</v>
      </c>
      <c r="I29" s="874">
        <f t="shared" si="2"/>
        <v>1902</v>
      </c>
      <c r="J29" s="874">
        <f t="shared" si="2"/>
        <v>1903</v>
      </c>
      <c r="K29" s="874">
        <f t="shared" si="2"/>
        <v>1904</v>
      </c>
      <c r="L29" s="874">
        <f t="shared" si="2"/>
        <v>1905</v>
      </c>
      <c r="M29" s="874">
        <f t="shared" si="2"/>
        <v>1906</v>
      </c>
      <c r="N29" s="874">
        <f t="shared" si="2"/>
        <v>1907</v>
      </c>
      <c r="O29" s="783"/>
      <c r="P29" s="875" t="s">
        <v>306</v>
      </c>
      <c r="Q29" s="875" t="s">
        <v>305</v>
      </c>
      <c r="R29" s="783"/>
      <c r="S29" s="784"/>
      <c r="U29" s="791">
        <f>$G$22</f>
        <v>1900</v>
      </c>
      <c r="V29" s="791">
        <f t="shared" ref="V29:AY29" si="3" xml:space="preserve"> U29 + 1</f>
        <v>1901</v>
      </c>
      <c r="W29" s="791">
        <f t="shared" si="3"/>
        <v>1902</v>
      </c>
      <c r="X29" s="791">
        <f t="shared" si="3"/>
        <v>1903</v>
      </c>
      <c r="Y29" s="791">
        <f t="shared" si="3"/>
        <v>1904</v>
      </c>
      <c r="Z29" s="791">
        <f t="shared" si="3"/>
        <v>1905</v>
      </c>
      <c r="AA29" s="791">
        <f t="shared" si="3"/>
        <v>1906</v>
      </c>
      <c r="AB29" s="791">
        <f t="shared" si="3"/>
        <v>1907</v>
      </c>
      <c r="AC29" s="791">
        <f t="shared" si="3"/>
        <v>1908</v>
      </c>
      <c r="AD29" s="791">
        <f t="shared" si="3"/>
        <v>1909</v>
      </c>
      <c r="AE29" s="791">
        <f t="shared" si="3"/>
        <v>1910</v>
      </c>
      <c r="AF29" s="791">
        <f t="shared" si="3"/>
        <v>1911</v>
      </c>
      <c r="AG29" s="791">
        <f t="shared" si="3"/>
        <v>1912</v>
      </c>
      <c r="AH29" s="791">
        <f t="shared" si="3"/>
        <v>1913</v>
      </c>
      <c r="AI29" s="791">
        <f t="shared" si="3"/>
        <v>1914</v>
      </c>
      <c r="AJ29" s="791">
        <f t="shared" si="3"/>
        <v>1915</v>
      </c>
      <c r="AK29" s="791">
        <f t="shared" si="3"/>
        <v>1916</v>
      </c>
      <c r="AL29" s="791">
        <f t="shared" si="3"/>
        <v>1917</v>
      </c>
      <c r="AM29" s="791">
        <f t="shared" si="3"/>
        <v>1918</v>
      </c>
      <c r="AN29" s="791">
        <f t="shared" si="3"/>
        <v>1919</v>
      </c>
      <c r="AO29" s="791">
        <f t="shared" si="3"/>
        <v>1920</v>
      </c>
      <c r="AP29" s="791">
        <f t="shared" si="3"/>
        <v>1921</v>
      </c>
      <c r="AQ29" s="791">
        <f t="shared" si="3"/>
        <v>1922</v>
      </c>
      <c r="AR29" s="791">
        <f t="shared" si="3"/>
        <v>1923</v>
      </c>
      <c r="AS29" s="791">
        <f t="shared" si="3"/>
        <v>1924</v>
      </c>
      <c r="AT29" s="791">
        <f t="shared" si="3"/>
        <v>1925</v>
      </c>
      <c r="AU29" s="791">
        <f t="shared" si="3"/>
        <v>1926</v>
      </c>
      <c r="AV29" s="791">
        <f t="shared" si="3"/>
        <v>1927</v>
      </c>
      <c r="AW29" s="791">
        <f t="shared" si="3"/>
        <v>1928</v>
      </c>
      <c r="AX29" s="791">
        <f t="shared" si="3"/>
        <v>1929</v>
      </c>
      <c r="AY29" s="791">
        <f t="shared" si="3"/>
        <v>1930</v>
      </c>
    </row>
    <row r="30" spans="1:51" s="782" customFormat="1" ht="14.85" customHeight="1" x14ac:dyDescent="0.2">
      <c r="A30" s="786"/>
      <c r="B30" s="876" t="str">
        <f>IF(I58,"","Let op! Aantal aansluitingen gelijk stellen met opgevoerde aantallen op tabblad 'Begroting'")</f>
        <v/>
      </c>
      <c r="C30" s="787"/>
      <c r="D30" s="787"/>
      <c r="E30" s="787"/>
      <c r="G30" s="877" t="s">
        <v>231</v>
      </c>
      <c r="H30" s="877" t="s">
        <v>231</v>
      </c>
      <c r="I30" s="877" t="s">
        <v>231</v>
      </c>
      <c r="J30" s="877" t="s">
        <v>231</v>
      </c>
      <c r="K30" s="877" t="s">
        <v>231</v>
      </c>
      <c r="L30" s="877" t="s">
        <v>231</v>
      </c>
      <c r="M30" s="877" t="s">
        <v>231</v>
      </c>
      <c r="N30" s="877" t="s">
        <v>231</v>
      </c>
      <c r="P30" s="877" t="s">
        <v>304</v>
      </c>
      <c r="Q30" s="877" t="s">
        <v>303</v>
      </c>
      <c r="R30" s="783"/>
      <c r="S30" s="784"/>
      <c r="U30" s="878"/>
    </row>
    <row r="31" spans="1:51" s="782" customFormat="1" ht="14.85" customHeight="1" x14ac:dyDescent="0.2">
      <c r="A31" s="786"/>
      <c r="D31" s="782">
        <v>1</v>
      </c>
      <c r="E31" s="783"/>
      <c r="F31" s="879"/>
      <c r="G31" s="880"/>
      <c r="H31" s="880"/>
      <c r="I31" s="880">
        <v>10</v>
      </c>
      <c r="J31" s="880"/>
      <c r="K31" s="880"/>
      <c r="L31" s="880"/>
      <c r="M31" s="880"/>
      <c r="N31" s="880"/>
      <c r="O31" s="786"/>
      <c r="P31" s="881"/>
      <c r="Q31" s="882"/>
      <c r="R31" s="783"/>
      <c r="S31" s="784"/>
      <c r="U31" s="782">
        <f t="shared" ref="U31:U36" si="4">ROUND(SUMIFS($G31:$N31,$G$29:$N$29,"&lt;="&amp;U$29)*$P31,0)</f>
        <v>0</v>
      </c>
      <c r="V31" s="782">
        <f t="shared" ref="V31:AK40" si="5">ROUND(SUMIFS($G31:$N31,$G$29:$N$29,"&lt;="&amp;V$29)*$P31,0)</f>
        <v>0</v>
      </c>
      <c r="W31" s="782">
        <f t="shared" si="5"/>
        <v>0</v>
      </c>
      <c r="X31" s="782">
        <f t="shared" si="5"/>
        <v>0</v>
      </c>
      <c r="Y31" s="782">
        <f t="shared" si="5"/>
        <v>0</v>
      </c>
      <c r="Z31" s="782">
        <f t="shared" si="5"/>
        <v>0</v>
      </c>
      <c r="AA31" s="782">
        <f t="shared" si="5"/>
        <v>0</v>
      </c>
      <c r="AB31" s="782">
        <f t="shared" si="5"/>
        <v>0</v>
      </c>
      <c r="AC31" s="782">
        <f t="shared" si="5"/>
        <v>0</v>
      </c>
      <c r="AD31" s="782">
        <f t="shared" si="5"/>
        <v>0</v>
      </c>
      <c r="AE31" s="782">
        <f t="shared" si="5"/>
        <v>0</v>
      </c>
      <c r="AF31" s="782">
        <f t="shared" si="5"/>
        <v>0</v>
      </c>
      <c r="AG31" s="782">
        <f t="shared" si="5"/>
        <v>0</v>
      </c>
      <c r="AH31" s="782">
        <f t="shared" si="5"/>
        <v>0</v>
      </c>
      <c r="AI31" s="782">
        <f t="shared" si="5"/>
        <v>0</v>
      </c>
      <c r="AJ31" s="782">
        <f t="shared" si="5"/>
        <v>0</v>
      </c>
      <c r="AK31" s="782">
        <f t="shared" si="5"/>
        <v>0</v>
      </c>
      <c r="AL31" s="782">
        <f t="shared" ref="AL31:AY40" si="6">ROUND(SUMIFS($G31:$N31,$G$29:$N$29,"&lt;="&amp;AL$29)*$P31,0)</f>
        <v>0</v>
      </c>
      <c r="AM31" s="782">
        <f t="shared" si="6"/>
        <v>0</v>
      </c>
      <c r="AN31" s="782">
        <f t="shared" si="6"/>
        <v>0</v>
      </c>
      <c r="AO31" s="782">
        <f t="shared" si="6"/>
        <v>0</v>
      </c>
      <c r="AP31" s="782">
        <f t="shared" si="6"/>
        <v>0</v>
      </c>
      <c r="AQ31" s="782">
        <f t="shared" si="6"/>
        <v>0</v>
      </c>
      <c r="AR31" s="782">
        <f t="shared" si="6"/>
        <v>0</v>
      </c>
      <c r="AS31" s="782">
        <f t="shared" si="6"/>
        <v>0</v>
      </c>
      <c r="AT31" s="782">
        <f t="shared" si="6"/>
        <v>0</v>
      </c>
      <c r="AU31" s="782">
        <f t="shared" si="6"/>
        <v>0</v>
      </c>
      <c r="AV31" s="782">
        <f t="shared" si="6"/>
        <v>0</v>
      </c>
      <c r="AW31" s="782">
        <f t="shared" si="6"/>
        <v>0</v>
      </c>
      <c r="AX31" s="782">
        <f t="shared" si="6"/>
        <v>0</v>
      </c>
      <c r="AY31" s="782">
        <f t="shared" si="6"/>
        <v>0</v>
      </c>
    </row>
    <row r="32" spans="1:51" s="782" customFormat="1" ht="14.85" customHeight="1" x14ac:dyDescent="0.2">
      <c r="A32" s="786"/>
      <c r="D32" s="782">
        <v>2</v>
      </c>
      <c r="E32" s="783"/>
      <c r="F32" s="879"/>
      <c r="G32" s="880"/>
      <c r="H32" s="880"/>
      <c r="I32" s="880"/>
      <c r="J32" s="880"/>
      <c r="K32" s="880"/>
      <c r="L32" s="880"/>
      <c r="M32" s="880"/>
      <c r="N32" s="880"/>
      <c r="O32" s="786"/>
      <c r="P32" s="881"/>
      <c r="Q32" s="882"/>
      <c r="R32" s="783"/>
      <c r="S32" s="784"/>
      <c r="U32" s="782">
        <f t="shared" si="4"/>
        <v>0</v>
      </c>
      <c r="V32" s="782">
        <f t="shared" si="5"/>
        <v>0</v>
      </c>
      <c r="W32" s="782">
        <f t="shared" si="5"/>
        <v>0</v>
      </c>
      <c r="X32" s="782">
        <f t="shared" si="5"/>
        <v>0</v>
      </c>
      <c r="Y32" s="782">
        <f t="shared" si="5"/>
        <v>0</v>
      </c>
      <c r="Z32" s="782">
        <f t="shared" si="5"/>
        <v>0</v>
      </c>
      <c r="AA32" s="782">
        <f t="shared" si="5"/>
        <v>0</v>
      </c>
      <c r="AB32" s="782">
        <f t="shared" si="5"/>
        <v>0</v>
      </c>
      <c r="AC32" s="782">
        <f t="shared" si="5"/>
        <v>0</v>
      </c>
      <c r="AD32" s="782">
        <f t="shared" si="5"/>
        <v>0</v>
      </c>
      <c r="AE32" s="782">
        <f t="shared" si="5"/>
        <v>0</v>
      </c>
      <c r="AF32" s="782">
        <f t="shared" si="5"/>
        <v>0</v>
      </c>
      <c r="AG32" s="782">
        <f t="shared" si="5"/>
        <v>0</v>
      </c>
      <c r="AH32" s="782">
        <f t="shared" si="5"/>
        <v>0</v>
      </c>
      <c r="AI32" s="782">
        <f t="shared" si="5"/>
        <v>0</v>
      </c>
      <c r="AJ32" s="782">
        <f t="shared" si="5"/>
        <v>0</v>
      </c>
      <c r="AK32" s="782">
        <f t="shared" si="5"/>
        <v>0</v>
      </c>
      <c r="AL32" s="782">
        <f t="shared" si="6"/>
        <v>0</v>
      </c>
      <c r="AM32" s="782">
        <f t="shared" si="6"/>
        <v>0</v>
      </c>
      <c r="AN32" s="782">
        <f t="shared" si="6"/>
        <v>0</v>
      </c>
      <c r="AO32" s="782">
        <f t="shared" si="6"/>
        <v>0</v>
      </c>
      <c r="AP32" s="782">
        <f t="shared" si="6"/>
        <v>0</v>
      </c>
      <c r="AQ32" s="782">
        <f t="shared" si="6"/>
        <v>0</v>
      </c>
      <c r="AR32" s="782">
        <f t="shared" si="6"/>
        <v>0</v>
      </c>
      <c r="AS32" s="782">
        <f t="shared" si="6"/>
        <v>0</v>
      </c>
      <c r="AT32" s="782">
        <f t="shared" si="6"/>
        <v>0</v>
      </c>
      <c r="AU32" s="782">
        <f t="shared" si="6"/>
        <v>0</v>
      </c>
      <c r="AV32" s="782">
        <f t="shared" si="6"/>
        <v>0</v>
      </c>
      <c r="AW32" s="782">
        <f t="shared" si="6"/>
        <v>0</v>
      </c>
      <c r="AX32" s="782">
        <f t="shared" si="6"/>
        <v>0</v>
      </c>
      <c r="AY32" s="782">
        <f t="shared" si="6"/>
        <v>0</v>
      </c>
    </row>
    <row r="33" spans="1:51" s="782" customFormat="1" ht="14.85" customHeight="1" x14ac:dyDescent="0.2">
      <c r="A33" s="786"/>
      <c r="D33" s="782">
        <v>3</v>
      </c>
      <c r="E33" s="783"/>
      <c r="F33" s="879"/>
      <c r="G33" s="880"/>
      <c r="H33" s="880"/>
      <c r="I33" s="880"/>
      <c r="J33" s="880"/>
      <c r="K33" s="880"/>
      <c r="L33" s="880"/>
      <c r="M33" s="880"/>
      <c r="N33" s="880"/>
      <c r="O33" s="786"/>
      <c r="P33" s="881"/>
      <c r="Q33" s="882"/>
      <c r="R33" s="783"/>
      <c r="S33" s="784"/>
      <c r="U33" s="782">
        <f t="shared" si="4"/>
        <v>0</v>
      </c>
      <c r="V33" s="782">
        <f t="shared" si="5"/>
        <v>0</v>
      </c>
      <c r="W33" s="782">
        <f t="shared" si="5"/>
        <v>0</v>
      </c>
      <c r="X33" s="782">
        <f t="shared" si="5"/>
        <v>0</v>
      </c>
      <c r="Y33" s="782">
        <f t="shared" si="5"/>
        <v>0</v>
      </c>
      <c r="Z33" s="782">
        <f t="shared" si="5"/>
        <v>0</v>
      </c>
      <c r="AA33" s="782">
        <f t="shared" si="5"/>
        <v>0</v>
      </c>
      <c r="AB33" s="782">
        <f t="shared" si="5"/>
        <v>0</v>
      </c>
      <c r="AC33" s="782">
        <f t="shared" si="5"/>
        <v>0</v>
      </c>
      <c r="AD33" s="782">
        <f t="shared" si="5"/>
        <v>0</v>
      </c>
      <c r="AE33" s="782">
        <f t="shared" si="5"/>
        <v>0</v>
      </c>
      <c r="AF33" s="782">
        <f t="shared" si="5"/>
        <v>0</v>
      </c>
      <c r="AG33" s="782">
        <f t="shared" si="5"/>
        <v>0</v>
      </c>
      <c r="AH33" s="782">
        <f t="shared" si="5"/>
        <v>0</v>
      </c>
      <c r="AI33" s="782">
        <f t="shared" si="5"/>
        <v>0</v>
      </c>
      <c r="AJ33" s="782">
        <f t="shared" si="5"/>
        <v>0</v>
      </c>
      <c r="AK33" s="782">
        <f t="shared" si="5"/>
        <v>0</v>
      </c>
      <c r="AL33" s="782">
        <f t="shared" si="6"/>
        <v>0</v>
      </c>
      <c r="AM33" s="782">
        <f t="shared" si="6"/>
        <v>0</v>
      </c>
      <c r="AN33" s="782">
        <f t="shared" si="6"/>
        <v>0</v>
      </c>
      <c r="AO33" s="782">
        <f t="shared" si="6"/>
        <v>0</v>
      </c>
      <c r="AP33" s="782">
        <f t="shared" si="6"/>
        <v>0</v>
      </c>
      <c r="AQ33" s="782">
        <f t="shared" si="6"/>
        <v>0</v>
      </c>
      <c r="AR33" s="782">
        <f t="shared" si="6"/>
        <v>0</v>
      </c>
      <c r="AS33" s="782">
        <f t="shared" si="6"/>
        <v>0</v>
      </c>
      <c r="AT33" s="782">
        <f t="shared" si="6"/>
        <v>0</v>
      </c>
      <c r="AU33" s="782">
        <f t="shared" si="6"/>
        <v>0</v>
      </c>
      <c r="AV33" s="782">
        <f t="shared" si="6"/>
        <v>0</v>
      </c>
      <c r="AW33" s="782">
        <f t="shared" si="6"/>
        <v>0</v>
      </c>
      <c r="AX33" s="782">
        <f t="shared" si="6"/>
        <v>0</v>
      </c>
      <c r="AY33" s="782">
        <f t="shared" si="6"/>
        <v>0</v>
      </c>
    </row>
    <row r="34" spans="1:51" s="782" customFormat="1" ht="14.85" customHeight="1" x14ac:dyDescent="0.2">
      <c r="A34" s="786"/>
      <c r="D34" s="782">
        <v>4</v>
      </c>
      <c r="E34" s="783"/>
      <c r="F34" s="879"/>
      <c r="G34" s="880"/>
      <c r="H34" s="880"/>
      <c r="I34" s="880"/>
      <c r="J34" s="880"/>
      <c r="K34" s="880"/>
      <c r="L34" s="880"/>
      <c r="M34" s="880"/>
      <c r="N34" s="880"/>
      <c r="O34" s="786"/>
      <c r="P34" s="881"/>
      <c r="Q34" s="882"/>
      <c r="R34" s="783"/>
      <c r="S34" s="784"/>
      <c r="U34" s="782">
        <f t="shared" si="4"/>
        <v>0</v>
      </c>
      <c r="V34" s="782">
        <f t="shared" si="5"/>
        <v>0</v>
      </c>
      <c r="W34" s="782">
        <f t="shared" si="5"/>
        <v>0</v>
      </c>
      <c r="X34" s="782">
        <f t="shared" si="5"/>
        <v>0</v>
      </c>
      <c r="Y34" s="782">
        <f t="shared" si="5"/>
        <v>0</v>
      </c>
      <c r="Z34" s="782">
        <f t="shared" si="5"/>
        <v>0</v>
      </c>
      <c r="AA34" s="782">
        <f t="shared" si="5"/>
        <v>0</v>
      </c>
      <c r="AB34" s="782">
        <f t="shared" si="5"/>
        <v>0</v>
      </c>
      <c r="AC34" s="782">
        <f t="shared" si="5"/>
        <v>0</v>
      </c>
      <c r="AD34" s="782">
        <f t="shared" si="5"/>
        <v>0</v>
      </c>
      <c r="AE34" s="782">
        <f t="shared" si="5"/>
        <v>0</v>
      </c>
      <c r="AF34" s="782">
        <f t="shared" si="5"/>
        <v>0</v>
      </c>
      <c r="AG34" s="782">
        <f t="shared" si="5"/>
        <v>0</v>
      </c>
      <c r="AH34" s="782">
        <f t="shared" si="5"/>
        <v>0</v>
      </c>
      <c r="AI34" s="782">
        <f t="shared" si="5"/>
        <v>0</v>
      </c>
      <c r="AJ34" s="782">
        <f t="shared" si="5"/>
        <v>0</v>
      </c>
      <c r="AK34" s="782">
        <f t="shared" si="5"/>
        <v>0</v>
      </c>
      <c r="AL34" s="782">
        <f t="shared" si="6"/>
        <v>0</v>
      </c>
      <c r="AM34" s="782">
        <f t="shared" si="6"/>
        <v>0</v>
      </c>
      <c r="AN34" s="782">
        <f t="shared" si="6"/>
        <v>0</v>
      </c>
      <c r="AO34" s="782">
        <f t="shared" si="6"/>
        <v>0</v>
      </c>
      <c r="AP34" s="782">
        <f t="shared" si="6"/>
        <v>0</v>
      </c>
      <c r="AQ34" s="782">
        <f t="shared" si="6"/>
        <v>0</v>
      </c>
      <c r="AR34" s="782">
        <f t="shared" si="6"/>
        <v>0</v>
      </c>
      <c r="AS34" s="782">
        <f t="shared" si="6"/>
        <v>0</v>
      </c>
      <c r="AT34" s="782">
        <f t="shared" si="6"/>
        <v>0</v>
      </c>
      <c r="AU34" s="782">
        <f t="shared" si="6"/>
        <v>0</v>
      </c>
      <c r="AV34" s="782">
        <f t="shared" si="6"/>
        <v>0</v>
      </c>
      <c r="AW34" s="782">
        <f t="shared" si="6"/>
        <v>0</v>
      </c>
      <c r="AX34" s="782">
        <f t="shared" si="6"/>
        <v>0</v>
      </c>
      <c r="AY34" s="782">
        <f t="shared" si="6"/>
        <v>0</v>
      </c>
    </row>
    <row r="35" spans="1:51" s="782" customFormat="1" ht="14.85" customHeight="1" x14ac:dyDescent="0.2">
      <c r="A35" s="786"/>
      <c r="D35" s="782">
        <v>5</v>
      </c>
      <c r="E35" s="783"/>
      <c r="F35" s="879"/>
      <c r="G35" s="880"/>
      <c r="H35" s="880"/>
      <c r="I35" s="880"/>
      <c r="J35" s="880"/>
      <c r="K35" s="880"/>
      <c r="L35" s="880"/>
      <c r="M35" s="880"/>
      <c r="N35" s="880"/>
      <c r="O35" s="786"/>
      <c r="P35" s="881"/>
      <c r="Q35" s="882"/>
      <c r="R35" s="783"/>
      <c r="S35" s="784"/>
      <c r="U35" s="782">
        <f t="shared" si="4"/>
        <v>0</v>
      </c>
      <c r="V35" s="782">
        <f t="shared" si="5"/>
        <v>0</v>
      </c>
      <c r="W35" s="782">
        <f t="shared" si="5"/>
        <v>0</v>
      </c>
      <c r="X35" s="782">
        <f t="shared" si="5"/>
        <v>0</v>
      </c>
      <c r="Y35" s="782">
        <f t="shared" si="5"/>
        <v>0</v>
      </c>
      <c r="Z35" s="782">
        <f t="shared" si="5"/>
        <v>0</v>
      </c>
      <c r="AA35" s="782">
        <f t="shared" si="5"/>
        <v>0</v>
      </c>
      <c r="AB35" s="782">
        <f t="shared" si="5"/>
        <v>0</v>
      </c>
      <c r="AC35" s="782">
        <f t="shared" si="5"/>
        <v>0</v>
      </c>
      <c r="AD35" s="782">
        <f t="shared" si="5"/>
        <v>0</v>
      </c>
      <c r="AE35" s="782">
        <f t="shared" si="5"/>
        <v>0</v>
      </c>
      <c r="AF35" s="782">
        <f t="shared" si="5"/>
        <v>0</v>
      </c>
      <c r="AG35" s="782">
        <f t="shared" si="5"/>
        <v>0</v>
      </c>
      <c r="AH35" s="782">
        <f t="shared" si="5"/>
        <v>0</v>
      </c>
      <c r="AI35" s="782">
        <f t="shared" si="5"/>
        <v>0</v>
      </c>
      <c r="AJ35" s="782">
        <f t="shared" si="5"/>
        <v>0</v>
      </c>
      <c r="AK35" s="782">
        <f t="shared" si="5"/>
        <v>0</v>
      </c>
      <c r="AL35" s="782">
        <f t="shared" si="6"/>
        <v>0</v>
      </c>
      <c r="AM35" s="782">
        <f t="shared" si="6"/>
        <v>0</v>
      </c>
      <c r="AN35" s="782">
        <f t="shared" si="6"/>
        <v>0</v>
      </c>
      <c r="AO35" s="782">
        <f t="shared" si="6"/>
        <v>0</v>
      </c>
      <c r="AP35" s="782">
        <f t="shared" si="6"/>
        <v>0</v>
      </c>
      <c r="AQ35" s="782">
        <f t="shared" si="6"/>
        <v>0</v>
      </c>
      <c r="AR35" s="782">
        <f t="shared" si="6"/>
        <v>0</v>
      </c>
      <c r="AS35" s="782">
        <f t="shared" si="6"/>
        <v>0</v>
      </c>
      <c r="AT35" s="782">
        <f t="shared" si="6"/>
        <v>0</v>
      </c>
      <c r="AU35" s="782">
        <f t="shared" si="6"/>
        <v>0</v>
      </c>
      <c r="AV35" s="782">
        <f t="shared" si="6"/>
        <v>0</v>
      </c>
      <c r="AW35" s="782">
        <f t="shared" si="6"/>
        <v>0</v>
      </c>
      <c r="AX35" s="782">
        <f t="shared" si="6"/>
        <v>0</v>
      </c>
      <c r="AY35" s="782">
        <f t="shared" si="6"/>
        <v>0</v>
      </c>
    </row>
    <row r="36" spans="1:51" s="782" customFormat="1" ht="14.85" customHeight="1" x14ac:dyDescent="0.2">
      <c r="A36" s="786"/>
      <c r="D36" s="782">
        <v>6</v>
      </c>
      <c r="E36" s="783"/>
      <c r="F36" s="879"/>
      <c r="G36" s="880"/>
      <c r="H36" s="880"/>
      <c r="I36" s="880"/>
      <c r="J36" s="880"/>
      <c r="K36" s="880"/>
      <c r="L36" s="880"/>
      <c r="M36" s="880"/>
      <c r="N36" s="880"/>
      <c r="O36" s="786"/>
      <c r="P36" s="881"/>
      <c r="Q36" s="882"/>
      <c r="R36" s="783"/>
      <c r="S36" s="784"/>
      <c r="U36" s="782">
        <f t="shared" si="4"/>
        <v>0</v>
      </c>
      <c r="V36" s="782">
        <f t="shared" si="5"/>
        <v>0</v>
      </c>
      <c r="W36" s="782">
        <f t="shared" si="5"/>
        <v>0</v>
      </c>
      <c r="X36" s="782">
        <f t="shared" si="5"/>
        <v>0</v>
      </c>
      <c r="Y36" s="782">
        <f t="shared" si="5"/>
        <v>0</v>
      </c>
      <c r="Z36" s="782">
        <f t="shared" si="5"/>
        <v>0</v>
      </c>
      <c r="AA36" s="782">
        <f t="shared" si="5"/>
        <v>0</v>
      </c>
      <c r="AB36" s="782">
        <f t="shared" si="5"/>
        <v>0</v>
      </c>
      <c r="AC36" s="782">
        <f t="shared" si="5"/>
        <v>0</v>
      </c>
      <c r="AD36" s="782">
        <f t="shared" si="5"/>
        <v>0</v>
      </c>
      <c r="AE36" s="782">
        <f t="shared" si="5"/>
        <v>0</v>
      </c>
      <c r="AF36" s="782">
        <f t="shared" si="5"/>
        <v>0</v>
      </c>
      <c r="AG36" s="782">
        <f t="shared" si="5"/>
        <v>0</v>
      </c>
      <c r="AH36" s="782">
        <f t="shared" si="5"/>
        <v>0</v>
      </c>
      <c r="AI36" s="782">
        <f t="shared" si="5"/>
        <v>0</v>
      </c>
      <c r="AJ36" s="782">
        <f t="shared" si="5"/>
        <v>0</v>
      </c>
      <c r="AK36" s="782">
        <f t="shared" si="5"/>
        <v>0</v>
      </c>
      <c r="AL36" s="782">
        <f t="shared" si="6"/>
        <v>0</v>
      </c>
      <c r="AM36" s="782">
        <f t="shared" si="6"/>
        <v>0</v>
      </c>
      <c r="AN36" s="782">
        <f t="shared" si="6"/>
        <v>0</v>
      </c>
      <c r="AO36" s="782">
        <f t="shared" si="6"/>
        <v>0</v>
      </c>
      <c r="AP36" s="782">
        <f t="shared" si="6"/>
        <v>0</v>
      </c>
      <c r="AQ36" s="782">
        <f t="shared" si="6"/>
        <v>0</v>
      </c>
      <c r="AR36" s="782">
        <f t="shared" si="6"/>
        <v>0</v>
      </c>
      <c r="AS36" s="782">
        <f t="shared" si="6"/>
        <v>0</v>
      </c>
      <c r="AT36" s="782">
        <f t="shared" si="6"/>
        <v>0</v>
      </c>
      <c r="AU36" s="782">
        <f t="shared" si="6"/>
        <v>0</v>
      </c>
      <c r="AV36" s="782">
        <f t="shared" si="6"/>
        <v>0</v>
      </c>
      <c r="AW36" s="782">
        <f t="shared" si="6"/>
        <v>0</v>
      </c>
      <c r="AX36" s="782">
        <f t="shared" si="6"/>
        <v>0</v>
      </c>
      <c r="AY36" s="782">
        <f t="shared" si="6"/>
        <v>0</v>
      </c>
    </row>
    <row r="37" spans="1:51" s="782" customFormat="1" ht="14.85" customHeight="1" x14ac:dyDescent="0.2">
      <c r="A37" s="786"/>
      <c r="D37" s="782">
        <v>7</v>
      </c>
      <c r="E37" s="783"/>
      <c r="F37" s="879"/>
      <c r="G37" s="880"/>
      <c r="H37" s="880"/>
      <c r="I37" s="880"/>
      <c r="J37" s="880"/>
      <c r="K37" s="880"/>
      <c r="L37" s="880"/>
      <c r="M37" s="880"/>
      <c r="N37" s="880"/>
      <c r="O37" s="786"/>
      <c r="P37" s="881"/>
      <c r="Q37" s="882"/>
      <c r="R37" s="783"/>
      <c r="S37" s="784"/>
      <c r="U37" s="782">
        <f t="shared" ref="U37" si="7">ROUND(SUMIFS($G37:$N37,$G$29:$N$29,"&lt;="&amp;U$29)*$P37,0)</f>
        <v>0</v>
      </c>
      <c r="V37" s="782">
        <f t="shared" si="5"/>
        <v>0</v>
      </c>
      <c r="W37" s="782">
        <f t="shared" si="5"/>
        <v>0</v>
      </c>
      <c r="X37" s="782">
        <f t="shared" si="5"/>
        <v>0</v>
      </c>
      <c r="Y37" s="782">
        <f t="shared" si="5"/>
        <v>0</v>
      </c>
      <c r="Z37" s="782">
        <f t="shared" si="5"/>
        <v>0</v>
      </c>
      <c r="AA37" s="782">
        <f t="shared" si="5"/>
        <v>0</v>
      </c>
      <c r="AB37" s="782">
        <f t="shared" si="5"/>
        <v>0</v>
      </c>
      <c r="AC37" s="782">
        <f t="shared" si="5"/>
        <v>0</v>
      </c>
      <c r="AD37" s="782">
        <f t="shared" si="5"/>
        <v>0</v>
      </c>
      <c r="AE37" s="782">
        <f t="shared" si="5"/>
        <v>0</v>
      </c>
      <c r="AF37" s="782">
        <f t="shared" si="5"/>
        <v>0</v>
      </c>
      <c r="AG37" s="782">
        <f t="shared" si="5"/>
        <v>0</v>
      </c>
      <c r="AH37" s="782">
        <f t="shared" si="5"/>
        <v>0</v>
      </c>
      <c r="AI37" s="782">
        <f t="shared" si="5"/>
        <v>0</v>
      </c>
      <c r="AJ37" s="782">
        <f t="shared" si="5"/>
        <v>0</v>
      </c>
      <c r="AK37" s="782">
        <f t="shared" si="5"/>
        <v>0</v>
      </c>
      <c r="AL37" s="782">
        <f t="shared" si="6"/>
        <v>0</v>
      </c>
      <c r="AM37" s="782">
        <f t="shared" si="6"/>
        <v>0</v>
      </c>
      <c r="AN37" s="782">
        <f t="shared" si="6"/>
        <v>0</v>
      </c>
      <c r="AO37" s="782">
        <f t="shared" si="6"/>
        <v>0</v>
      </c>
      <c r="AP37" s="782">
        <f t="shared" si="6"/>
        <v>0</v>
      </c>
      <c r="AQ37" s="782">
        <f t="shared" si="6"/>
        <v>0</v>
      </c>
      <c r="AR37" s="782">
        <f t="shared" si="6"/>
        <v>0</v>
      </c>
      <c r="AS37" s="782">
        <f t="shared" si="6"/>
        <v>0</v>
      </c>
      <c r="AT37" s="782">
        <f t="shared" si="6"/>
        <v>0</v>
      </c>
      <c r="AU37" s="782">
        <f t="shared" si="6"/>
        <v>0</v>
      </c>
      <c r="AV37" s="782">
        <f t="shared" si="6"/>
        <v>0</v>
      </c>
      <c r="AW37" s="782">
        <f t="shared" si="6"/>
        <v>0</v>
      </c>
      <c r="AX37" s="782">
        <f t="shared" si="6"/>
        <v>0</v>
      </c>
      <c r="AY37" s="782">
        <f t="shared" si="6"/>
        <v>0</v>
      </c>
    </row>
    <row r="38" spans="1:51" s="782" customFormat="1" ht="14.85" customHeight="1" x14ac:dyDescent="0.2">
      <c r="A38" s="786"/>
      <c r="D38" s="782">
        <v>8</v>
      </c>
      <c r="E38" s="783"/>
      <c r="F38" s="879"/>
      <c r="G38" s="880"/>
      <c r="H38" s="880"/>
      <c r="I38" s="880"/>
      <c r="J38" s="880"/>
      <c r="K38" s="880"/>
      <c r="L38" s="880"/>
      <c r="M38" s="880"/>
      <c r="N38" s="880"/>
      <c r="O38" s="786"/>
      <c r="P38" s="881"/>
      <c r="Q38" s="882"/>
      <c r="R38" s="783"/>
      <c r="S38" s="784"/>
      <c r="U38" s="782">
        <f>ROUND(SUMIFS($G38:$N38,$G$29:$N$29,"&lt;="&amp;U$29)*$P38,0)</f>
        <v>0</v>
      </c>
      <c r="V38" s="782">
        <f t="shared" si="5"/>
        <v>0</v>
      </c>
      <c r="W38" s="782">
        <f t="shared" si="5"/>
        <v>0</v>
      </c>
      <c r="X38" s="782">
        <f t="shared" si="5"/>
        <v>0</v>
      </c>
      <c r="Y38" s="782">
        <f t="shared" si="5"/>
        <v>0</v>
      </c>
      <c r="Z38" s="782">
        <f t="shared" si="5"/>
        <v>0</v>
      </c>
      <c r="AA38" s="782">
        <f t="shared" si="5"/>
        <v>0</v>
      </c>
      <c r="AB38" s="782">
        <f t="shared" si="5"/>
        <v>0</v>
      </c>
      <c r="AC38" s="782">
        <f t="shared" si="5"/>
        <v>0</v>
      </c>
      <c r="AD38" s="782">
        <f t="shared" si="5"/>
        <v>0</v>
      </c>
      <c r="AE38" s="782">
        <f t="shared" si="5"/>
        <v>0</v>
      </c>
      <c r="AF38" s="782">
        <f t="shared" si="5"/>
        <v>0</v>
      </c>
      <c r="AG38" s="782">
        <f t="shared" si="5"/>
        <v>0</v>
      </c>
      <c r="AH38" s="782">
        <f t="shared" si="5"/>
        <v>0</v>
      </c>
      <c r="AI38" s="782">
        <f t="shared" si="5"/>
        <v>0</v>
      </c>
      <c r="AJ38" s="782">
        <f t="shared" si="5"/>
        <v>0</v>
      </c>
      <c r="AK38" s="782">
        <f t="shared" si="5"/>
        <v>0</v>
      </c>
      <c r="AL38" s="782">
        <f t="shared" si="6"/>
        <v>0</v>
      </c>
      <c r="AM38" s="782">
        <f t="shared" si="6"/>
        <v>0</v>
      </c>
      <c r="AN38" s="782">
        <f t="shared" si="6"/>
        <v>0</v>
      </c>
      <c r="AO38" s="782">
        <f t="shared" si="6"/>
        <v>0</v>
      </c>
      <c r="AP38" s="782">
        <f t="shared" si="6"/>
        <v>0</v>
      </c>
      <c r="AQ38" s="782">
        <f t="shared" si="6"/>
        <v>0</v>
      </c>
      <c r="AR38" s="782">
        <f t="shared" si="6"/>
        <v>0</v>
      </c>
      <c r="AS38" s="782">
        <f t="shared" si="6"/>
        <v>0</v>
      </c>
      <c r="AT38" s="782">
        <f t="shared" si="6"/>
        <v>0</v>
      </c>
      <c r="AU38" s="782">
        <f t="shared" si="6"/>
        <v>0</v>
      </c>
      <c r="AV38" s="782">
        <f t="shared" si="6"/>
        <v>0</v>
      </c>
      <c r="AW38" s="782">
        <f t="shared" si="6"/>
        <v>0</v>
      </c>
      <c r="AX38" s="782">
        <f t="shared" si="6"/>
        <v>0</v>
      </c>
      <c r="AY38" s="782">
        <f t="shared" si="6"/>
        <v>0</v>
      </c>
    </row>
    <row r="39" spans="1:51" s="782" customFormat="1" ht="14.85" customHeight="1" x14ac:dyDescent="0.2">
      <c r="A39" s="786"/>
      <c r="D39" s="782">
        <v>9</v>
      </c>
      <c r="E39" s="783"/>
      <c r="F39" s="879"/>
      <c r="G39" s="880"/>
      <c r="H39" s="880"/>
      <c r="I39" s="880"/>
      <c r="J39" s="880"/>
      <c r="K39" s="880"/>
      <c r="L39" s="880"/>
      <c r="M39" s="880"/>
      <c r="N39" s="880"/>
      <c r="O39" s="786"/>
      <c r="P39" s="881"/>
      <c r="Q39" s="882"/>
      <c r="R39" s="783"/>
      <c r="S39" s="784"/>
      <c r="U39" s="782">
        <f>ROUND(SUMIFS($G39:$N39,$G$29:$N$29,"&lt;="&amp;U$29)*$P39,0)</f>
        <v>0</v>
      </c>
      <c r="V39" s="782">
        <f t="shared" si="5"/>
        <v>0</v>
      </c>
      <c r="W39" s="782">
        <f t="shared" si="5"/>
        <v>0</v>
      </c>
      <c r="X39" s="782">
        <f t="shared" si="5"/>
        <v>0</v>
      </c>
      <c r="Y39" s="782">
        <f t="shared" si="5"/>
        <v>0</v>
      </c>
      <c r="Z39" s="782">
        <f t="shared" si="5"/>
        <v>0</v>
      </c>
      <c r="AA39" s="782">
        <f t="shared" si="5"/>
        <v>0</v>
      </c>
      <c r="AB39" s="782">
        <f t="shared" si="5"/>
        <v>0</v>
      </c>
      <c r="AC39" s="782">
        <f t="shared" si="5"/>
        <v>0</v>
      </c>
      <c r="AD39" s="782">
        <f t="shared" si="5"/>
        <v>0</v>
      </c>
      <c r="AE39" s="782">
        <f t="shared" si="5"/>
        <v>0</v>
      </c>
      <c r="AF39" s="782">
        <f t="shared" si="5"/>
        <v>0</v>
      </c>
      <c r="AG39" s="782">
        <f t="shared" si="5"/>
        <v>0</v>
      </c>
      <c r="AH39" s="782">
        <f t="shared" si="5"/>
        <v>0</v>
      </c>
      <c r="AI39" s="782">
        <f t="shared" si="5"/>
        <v>0</v>
      </c>
      <c r="AJ39" s="782">
        <f t="shared" si="5"/>
        <v>0</v>
      </c>
      <c r="AK39" s="782">
        <f t="shared" si="5"/>
        <v>0</v>
      </c>
      <c r="AL39" s="782">
        <f t="shared" si="6"/>
        <v>0</v>
      </c>
      <c r="AM39" s="782">
        <f t="shared" si="6"/>
        <v>0</v>
      </c>
      <c r="AN39" s="782">
        <f t="shared" si="6"/>
        <v>0</v>
      </c>
      <c r="AO39" s="782">
        <f t="shared" si="6"/>
        <v>0</v>
      </c>
      <c r="AP39" s="782">
        <f t="shared" si="6"/>
        <v>0</v>
      </c>
      <c r="AQ39" s="782">
        <f t="shared" si="6"/>
        <v>0</v>
      </c>
      <c r="AR39" s="782">
        <f t="shared" si="6"/>
        <v>0</v>
      </c>
      <c r="AS39" s="782">
        <f t="shared" si="6"/>
        <v>0</v>
      </c>
      <c r="AT39" s="782">
        <f t="shared" si="6"/>
        <v>0</v>
      </c>
      <c r="AU39" s="782">
        <f t="shared" si="6"/>
        <v>0</v>
      </c>
      <c r="AV39" s="782">
        <f t="shared" si="6"/>
        <v>0</v>
      </c>
      <c r="AW39" s="782">
        <f t="shared" si="6"/>
        <v>0</v>
      </c>
      <c r="AX39" s="782">
        <f t="shared" si="6"/>
        <v>0</v>
      </c>
      <c r="AY39" s="782">
        <f t="shared" si="6"/>
        <v>0</v>
      </c>
    </row>
    <row r="40" spans="1:51" s="782" customFormat="1" ht="14.85" customHeight="1" x14ac:dyDescent="0.2">
      <c r="A40" s="786"/>
      <c r="D40" s="782">
        <v>10</v>
      </c>
      <c r="E40" s="783"/>
      <c r="F40" s="879"/>
      <c r="G40" s="880"/>
      <c r="H40" s="880"/>
      <c r="I40" s="880"/>
      <c r="J40" s="880"/>
      <c r="K40" s="880"/>
      <c r="L40" s="880"/>
      <c r="M40" s="880"/>
      <c r="N40" s="880"/>
      <c r="O40" s="786"/>
      <c r="P40" s="881"/>
      <c r="Q40" s="882"/>
      <c r="R40" s="783"/>
      <c r="S40" s="784"/>
      <c r="U40" s="782">
        <f>ROUND(SUMIFS($G40:$N40,$G$29:$N$29,"&lt;="&amp;U$29)*$P40,0)</f>
        <v>0</v>
      </c>
      <c r="V40" s="782">
        <f t="shared" si="5"/>
        <v>0</v>
      </c>
      <c r="W40" s="782">
        <f t="shared" si="5"/>
        <v>0</v>
      </c>
      <c r="X40" s="782">
        <f t="shared" si="5"/>
        <v>0</v>
      </c>
      <c r="Y40" s="782">
        <f t="shared" si="5"/>
        <v>0</v>
      </c>
      <c r="Z40" s="782">
        <f t="shared" si="5"/>
        <v>0</v>
      </c>
      <c r="AA40" s="782">
        <f t="shared" si="5"/>
        <v>0</v>
      </c>
      <c r="AB40" s="782">
        <f t="shared" si="5"/>
        <v>0</v>
      </c>
      <c r="AC40" s="782">
        <f t="shared" si="5"/>
        <v>0</v>
      </c>
      <c r="AD40" s="782">
        <f t="shared" si="5"/>
        <v>0</v>
      </c>
      <c r="AE40" s="782">
        <f t="shared" si="5"/>
        <v>0</v>
      </c>
      <c r="AF40" s="782">
        <f t="shared" si="5"/>
        <v>0</v>
      </c>
      <c r="AG40" s="782">
        <f t="shared" si="5"/>
        <v>0</v>
      </c>
      <c r="AH40" s="782">
        <f t="shared" si="5"/>
        <v>0</v>
      </c>
      <c r="AI40" s="782">
        <f t="shared" si="5"/>
        <v>0</v>
      </c>
      <c r="AJ40" s="782">
        <f t="shared" si="5"/>
        <v>0</v>
      </c>
      <c r="AK40" s="782">
        <f t="shared" si="5"/>
        <v>0</v>
      </c>
      <c r="AL40" s="782">
        <f t="shared" si="6"/>
        <v>0</v>
      </c>
      <c r="AM40" s="782">
        <f t="shared" si="6"/>
        <v>0</v>
      </c>
      <c r="AN40" s="782">
        <f t="shared" si="6"/>
        <v>0</v>
      </c>
      <c r="AO40" s="782">
        <f t="shared" si="6"/>
        <v>0</v>
      </c>
      <c r="AP40" s="782">
        <f t="shared" si="6"/>
        <v>0</v>
      </c>
      <c r="AQ40" s="782">
        <f t="shared" si="6"/>
        <v>0</v>
      </c>
      <c r="AR40" s="782">
        <f t="shared" si="6"/>
        <v>0</v>
      </c>
      <c r="AS40" s="782">
        <f t="shared" si="6"/>
        <v>0</v>
      </c>
      <c r="AT40" s="782">
        <f t="shared" si="6"/>
        <v>0</v>
      </c>
      <c r="AU40" s="782">
        <f t="shared" si="6"/>
        <v>0</v>
      </c>
      <c r="AV40" s="782">
        <f t="shared" si="6"/>
        <v>0</v>
      </c>
      <c r="AW40" s="782">
        <f t="shared" si="6"/>
        <v>0</v>
      </c>
      <c r="AX40" s="782">
        <f t="shared" si="6"/>
        <v>0</v>
      </c>
      <c r="AY40" s="782">
        <f t="shared" si="6"/>
        <v>0</v>
      </c>
    </row>
    <row r="41" spans="1:51" s="782" customFormat="1" ht="14.85" customHeight="1" x14ac:dyDescent="0.2">
      <c r="A41" s="786"/>
      <c r="E41" s="783"/>
      <c r="G41" s="877"/>
      <c r="H41" s="877"/>
      <c r="I41" s="877"/>
      <c r="J41" s="877"/>
      <c r="K41" s="877"/>
      <c r="L41" s="877"/>
      <c r="M41" s="877"/>
      <c r="N41" s="877"/>
      <c r="O41" s="786"/>
      <c r="P41" s="877"/>
      <c r="Q41" s="877"/>
      <c r="R41" s="783"/>
      <c r="S41" s="784"/>
      <c r="U41" s="878"/>
    </row>
    <row r="42" spans="1:51" s="782" customFormat="1" ht="14.85" customHeight="1" x14ac:dyDescent="0.2">
      <c r="A42" s="786"/>
      <c r="B42" s="788" t="s">
        <v>308</v>
      </c>
      <c r="C42" s="788"/>
      <c r="D42" s="788"/>
      <c r="E42" s="788"/>
      <c r="F42" s="788" t="s">
        <v>307</v>
      </c>
      <c r="G42" s="874">
        <f>$G$22</f>
        <v>1900</v>
      </c>
      <c r="H42" s="874">
        <f t="shared" ref="H42:N42" si="8">G42+1</f>
        <v>1901</v>
      </c>
      <c r="I42" s="874">
        <f t="shared" si="8"/>
        <v>1902</v>
      </c>
      <c r="J42" s="874">
        <f t="shared" si="8"/>
        <v>1903</v>
      </c>
      <c r="K42" s="874">
        <f t="shared" si="8"/>
        <v>1904</v>
      </c>
      <c r="L42" s="874">
        <f t="shared" si="8"/>
        <v>1905</v>
      </c>
      <c r="M42" s="874">
        <f t="shared" si="8"/>
        <v>1906</v>
      </c>
      <c r="N42" s="874">
        <f t="shared" si="8"/>
        <v>1907</v>
      </c>
      <c r="O42" s="786"/>
      <c r="P42" s="875" t="s">
        <v>306</v>
      </c>
      <c r="Q42" s="875" t="s">
        <v>305</v>
      </c>
      <c r="R42" s="783"/>
      <c r="S42" s="784"/>
      <c r="U42" s="878"/>
    </row>
    <row r="43" spans="1:51" s="782" customFormat="1" ht="14.85" customHeight="1" x14ac:dyDescent="0.2">
      <c r="A43" s="786"/>
      <c r="B43" s="876" t="str">
        <f>IF(I59,"","Let op! Aantal aansluitingen gelijk stellen met opgevoerde aantallen op tabblad 'Begroting'")</f>
        <v/>
      </c>
      <c r="C43" s="787"/>
      <c r="D43" s="787"/>
      <c r="G43" s="877" t="s">
        <v>231</v>
      </c>
      <c r="H43" s="877" t="s">
        <v>231</v>
      </c>
      <c r="I43" s="877" t="s">
        <v>231</v>
      </c>
      <c r="J43" s="877" t="s">
        <v>231</v>
      </c>
      <c r="K43" s="877" t="s">
        <v>231</v>
      </c>
      <c r="L43" s="877" t="s">
        <v>231</v>
      </c>
      <c r="M43" s="877" t="s">
        <v>231</v>
      </c>
      <c r="N43" s="877" t="s">
        <v>231</v>
      </c>
      <c r="O43" s="787"/>
      <c r="P43" s="877" t="s">
        <v>304</v>
      </c>
      <c r="Q43" s="877" t="s">
        <v>303</v>
      </c>
      <c r="R43" s="783"/>
      <c r="S43" s="784"/>
      <c r="U43" s="878"/>
    </row>
    <row r="44" spans="1:51" s="782" customFormat="1" ht="14.85" customHeight="1" x14ac:dyDescent="0.2">
      <c r="A44" s="786"/>
      <c r="D44" s="782">
        <v>1</v>
      </c>
      <c r="E44" s="783"/>
      <c r="F44" s="879"/>
      <c r="G44" s="880"/>
      <c r="H44" s="880"/>
      <c r="I44" s="880"/>
      <c r="J44" s="880"/>
      <c r="K44" s="880"/>
      <c r="L44" s="880"/>
      <c r="M44" s="880"/>
      <c r="N44" s="880"/>
      <c r="O44" s="786"/>
      <c r="P44" s="881"/>
      <c r="Q44" s="882"/>
      <c r="R44" s="783"/>
      <c r="S44" s="784"/>
      <c r="U44" s="782">
        <f>ROUND(SUMIFS($G44:$N44,$G$29:$N$29,"&lt;="&amp;U$29)*$P44,0)</f>
        <v>0</v>
      </c>
      <c r="V44" s="782">
        <f t="shared" ref="V44:AK53" si="9">ROUND(SUMIFS($G44:$N44,$G$29:$N$29,"&lt;="&amp;V$29)*$P44,0)</f>
        <v>0</v>
      </c>
      <c r="W44" s="782">
        <f t="shared" si="9"/>
        <v>0</v>
      </c>
      <c r="X44" s="782">
        <f t="shared" si="9"/>
        <v>0</v>
      </c>
      <c r="Y44" s="782">
        <f t="shared" si="9"/>
        <v>0</v>
      </c>
      <c r="Z44" s="782">
        <f t="shared" si="9"/>
        <v>0</v>
      </c>
      <c r="AA44" s="782">
        <f t="shared" si="9"/>
        <v>0</v>
      </c>
      <c r="AB44" s="782">
        <f t="shared" si="9"/>
        <v>0</v>
      </c>
      <c r="AC44" s="782">
        <f t="shared" si="9"/>
        <v>0</v>
      </c>
      <c r="AD44" s="782">
        <f t="shared" si="9"/>
        <v>0</v>
      </c>
      <c r="AE44" s="782">
        <f t="shared" si="9"/>
        <v>0</v>
      </c>
      <c r="AF44" s="782">
        <f t="shared" si="9"/>
        <v>0</v>
      </c>
      <c r="AG44" s="782">
        <f t="shared" si="9"/>
        <v>0</v>
      </c>
      <c r="AH44" s="782">
        <f t="shared" si="9"/>
        <v>0</v>
      </c>
      <c r="AI44" s="782">
        <f t="shared" si="9"/>
        <v>0</v>
      </c>
      <c r="AJ44" s="782">
        <f t="shared" si="9"/>
        <v>0</v>
      </c>
      <c r="AK44" s="782">
        <f t="shared" si="9"/>
        <v>0</v>
      </c>
      <c r="AL44" s="782">
        <f t="shared" ref="AL44:AY53" si="10">ROUND(SUMIFS($G44:$N44,$G$29:$N$29,"&lt;="&amp;AL$29)*$P44,0)</f>
        <v>0</v>
      </c>
      <c r="AM44" s="782">
        <f t="shared" si="10"/>
        <v>0</v>
      </c>
      <c r="AN44" s="782">
        <f t="shared" si="10"/>
        <v>0</v>
      </c>
      <c r="AO44" s="782">
        <f t="shared" si="10"/>
        <v>0</v>
      </c>
      <c r="AP44" s="782">
        <f t="shared" si="10"/>
        <v>0</v>
      </c>
      <c r="AQ44" s="782">
        <f t="shared" si="10"/>
        <v>0</v>
      </c>
      <c r="AR44" s="782">
        <f t="shared" si="10"/>
        <v>0</v>
      </c>
      <c r="AS44" s="782">
        <f t="shared" si="10"/>
        <v>0</v>
      </c>
      <c r="AT44" s="782">
        <f t="shared" si="10"/>
        <v>0</v>
      </c>
      <c r="AU44" s="782">
        <f t="shared" si="10"/>
        <v>0</v>
      </c>
      <c r="AV44" s="782">
        <f t="shared" si="10"/>
        <v>0</v>
      </c>
      <c r="AW44" s="782">
        <f t="shared" si="10"/>
        <v>0</v>
      </c>
      <c r="AX44" s="782">
        <f t="shared" si="10"/>
        <v>0</v>
      </c>
      <c r="AY44" s="782">
        <f t="shared" si="10"/>
        <v>0</v>
      </c>
    </row>
    <row r="45" spans="1:51" s="782" customFormat="1" ht="14.85" customHeight="1" x14ac:dyDescent="0.2">
      <c r="A45" s="786"/>
      <c r="D45" s="782">
        <v>2</v>
      </c>
      <c r="E45" s="783"/>
      <c r="F45" s="879"/>
      <c r="G45" s="880"/>
      <c r="H45" s="880"/>
      <c r="I45" s="880"/>
      <c r="J45" s="880"/>
      <c r="K45" s="880"/>
      <c r="L45" s="880"/>
      <c r="M45" s="880"/>
      <c r="N45" s="880"/>
      <c r="O45" s="786"/>
      <c r="P45" s="881"/>
      <c r="Q45" s="882"/>
      <c r="R45" s="783"/>
      <c r="S45" s="784"/>
      <c r="U45" s="782">
        <f t="shared" ref="U45:U53" si="11">ROUND(SUMIFS($G45:$N45,$G$29:$N$29,"&lt;="&amp;U$29)*$P45,0)</f>
        <v>0</v>
      </c>
      <c r="V45" s="782">
        <f t="shared" si="9"/>
        <v>0</v>
      </c>
      <c r="W45" s="782">
        <f t="shared" si="9"/>
        <v>0</v>
      </c>
      <c r="X45" s="782">
        <f t="shared" si="9"/>
        <v>0</v>
      </c>
      <c r="Y45" s="782">
        <f t="shared" si="9"/>
        <v>0</v>
      </c>
      <c r="Z45" s="782">
        <f t="shared" si="9"/>
        <v>0</v>
      </c>
      <c r="AA45" s="782">
        <f t="shared" si="9"/>
        <v>0</v>
      </c>
      <c r="AB45" s="782">
        <f t="shared" si="9"/>
        <v>0</v>
      </c>
      <c r="AC45" s="782">
        <f t="shared" si="9"/>
        <v>0</v>
      </c>
      <c r="AD45" s="782">
        <f t="shared" si="9"/>
        <v>0</v>
      </c>
      <c r="AE45" s="782">
        <f t="shared" si="9"/>
        <v>0</v>
      </c>
      <c r="AF45" s="782">
        <f t="shared" si="9"/>
        <v>0</v>
      </c>
      <c r="AG45" s="782">
        <f t="shared" si="9"/>
        <v>0</v>
      </c>
      <c r="AH45" s="782">
        <f t="shared" si="9"/>
        <v>0</v>
      </c>
      <c r="AI45" s="782">
        <f t="shared" si="9"/>
        <v>0</v>
      </c>
      <c r="AJ45" s="782">
        <f t="shared" si="9"/>
        <v>0</v>
      </c>
      <c r="AK45" s="782">
        <f t="shared" si="9"/>
        <v>0</v>
      </c>
      <c r="AL45" s="782">
        <f t="shared" si="10"/>
        <v>0</v>
      </c>
      <c r="AM45" s="782">
        <f t="shared" si="10"/>
        <v>0</v>
      </c>
      <c r="AN45" s="782">
        <f t="shared" si="10"/>
        <v>0</v>
      </c>
      <c r="AO45" s="782">
        <f t="shared" si="10"/>
        <v>0</v>
      </c>
      <c r="AP45" s="782">
        <f t="shared" si="10"/>
        <v>0</v>
      </c>
      <c r="AQ45" s="782">
        <f t="shared" si="10"/>
        <v>0</v>
      </c>
      <c r="AR45" s="782">
        <f t="shared" si="10"/>
        <v>0</v>
      </c>
      <c r="AS45" s="782">
        <f t="shared" si="10"/>
        <v>0</v>
      </c>
      <c r="AT45" s="782">
        <f t="shared" si="10"/>
        <v>0</v>
      </c>
      <c r="AU45" s="782">
        <f t="shared" si="10"/>
        <v>0</v>
      </c>
      <c r="AV45" s="782">
        <f t="shared" si="10"/>
        <v>0</v>
      </c>
      <c r="AW45" s="782">
        <f t="shared" si="10"/>
        <v>0</v>
      </c>
      <c r="AX45" s="782">
        <f t="shared" si="10"/>
        <v>0</v>
      </c>
      <c r="AY45" s="782">
        <f t="shared" si="10"/>
        <v>0</v>
      </c>
    </row>
    <row r="46" spans="1:51" s="782" customFormat="1" ht="14.85" customHeight="1" x14ac:dyDescent="0.2">
      <c r="A46" s="786"/>
      <c r="D46" s="782">
        <v>3</v>
      </c>
      <c r="E46" s="783"/>
      <c r="F46" s="879"/>
      <c r="G46" s="880"/>
      <c r="H46" s="880"/>
      <c r="I46" s="880"/>
      <c r="J46" s="880"/>
      <c r="K46" s="880"/>
      <c r="L46" s="880"/>
      <c r="M46" s="880"/>
      <c r="N46" s="880"/>
      <c r="O46" s="786"/>
      <c r="P46" s="881"/>
      <c r="Q46" s="882"/>
      <c r="R46" s="783"/>
      <c r="S46" s="784"/>
      <c r="U46" s="782">
        <f t="shared" si="11"/>
        <v>0</v>
      </c>
      <c r="V46" s="782">
        <f t="shared" si="9"/>
        <v>0</v>
      </c>
      <c r="W46" s="782">
        <f t="shared" si="9"/>
        <v>0</v>
      </c>
      <c r="X46" s="782">
        <f t="shared" si="9"/>
        <v>0</v>
      </c>
      <c r="Y46" s="782">
        <f t="shared" si="9"/>
        <v>0</v>
      </c>
      <c r="Z46" s="782">
        <f t="shared" si="9"/>
        <v>0</v>
      </c>
      <c r="AA46" s="782">
        <f t="shared" si="9"/>
        <v>0</v>
      </c>
      <c r="AB46" s="782">
        <f t="shared" si="9"/>
        <v>0</v>
      </c>
      <c r="AC46" s="782">
        <f t="shared" si="9"/>
        <v>0</v>
      </c>
      <c r="AD46" s="782">
        <f t="shared" si="9"/>
        <v>0</v>
      </c>
      <c r="AE46" s="782">
        <f t="shared" si="9"/>
        <v>0</v>
      </c>
      <c r="AF46" s="782">
        <f t="shared" si="9"/>
        <v>0</v>
      </c>
      <c r="AG46" s="782">
        <f t="shared" si="9"/>
        <v>0</v>
      </c>
      <c r="AH46" s="782">
        <f t="shared" si="9"/>
        <v>0</v>
      </c>
      <c r="AI46" s="782">
        <f t="shared" si="9"/>
        <v>0</v>
      </c>
      <c r="AJ46" s="782">
        <f t="shared" si="9"/>
        <v>0</v>
      </c>
      <c r="AK46" s="782">
        <f t="shared" si="9"/>
        <v>0</v>
      </c>
      <c r="AL46" s="782">
        <f t="shared" si="10"/>
        <v>0</v>
      </c>
      <c r="AM46" s="782">
        <f t="shared" si="10"/>
        <v>0</v>
      </c>
      <c r="AN46" s="782">
        <f t="shared" si="10"/>
        <v>0</v>
      </c>
      <c r="AO46" s="782">
        <f t="shared" si="10"/>
        <v>0</v>
      </c>
      <c r="AP46" s="782">
        <f t="shared" si="10"/>
        <v>0</v>
      </c>
      <c r="AQ46" s="782">
        <f t="shared" si="10"/>
        <v>0</v>
      </c>
      <c r="AR46" s="782">
        <f t="shared" si="10"/>
        <v>0</v>
      </c>
      <c r="AS46" s="782">
        <f t="shared" si="10"/>
        <v>0</v>
      </c>
      <c r="AT46" s="782">
        <f t="shared" si="10"/>
        <v>0</v>
      </c>
      <c r="AU46" s="782">
        <f t="shared" si="10"/>
        <v>0</v>
      </c>
      <c r="AV46" s="782">
        <f t="shared" si="10"/>
        <v>0</v>
      </c>
      <c r="AW46" s="782">
        <f t="shared" si="10"/>
        <v>0</v>
      </c>
      <c r="AX46" s="782">
        <f t="shared" si="10"/>
        <v>0</v>
      </c>
      <c r="AY46" s="782">
        <f t="shared" si="10"/>
        <v>0</v>
      </c>
    </row>
    <row r="47" spans="1:51" s="782" customFormat="1" ht="14.85" customHeight="1" x14ac:dyDescent="0.2">
      <c r="A47" s="786"/>
      <c r="D47" s="782">
        <v>4</v>
      </c>
      <c r="E47" s="783"/>
      <c r="F47" s="879"/>
      <c r="G47" s="880"/>
      <c r="H47" s="880"/>
      <c r="I47" s="880"/>
      <c r="J47" s="880"/>
      <c r="K47" s="880"/>
      <c r="L47" s="880"/>
      <c r="M47" s="880"/>
      <c r="N47" s="880"/>
      <c r="O47" s="786"/>
      <c r="P47" s="881"/>
      <c r="Q47" s="882"/>
      <c r="R47" s="783"/>
      <c r="S47" s="784"/>
      <c r="U47" s="782">
        <f t="shared" si="11"/>
        <v>0</v>
      </c>
      <c r="V47" s="782">
        <f t="shared" si="9"/>
        <v>0</v>
      </c>
      <c r="W47" s="782">
        <f t="shared" si="9"/>
        <v>0</v>
      </c>
      <c r="X47" s="782">
        <f t="shared" si="9"/>
        <v>0</v>
      </c>
      <c r="Y47" s="782">
        <f t="shared" si="9"/>
        <v>0</v>
      </c>
      <c r="Z47" s="782">
        <f t="shared" si="9"/>
        <v>0</v>
      </c>
      <c r="AA47" s="782">
        <f t="shared" si="9"/>
        <v>0</v>
      </c>
      <c r="AB47" s="782">
        <f t="shared" si="9"/>
        <v>0</v>
      </c>
      <c r="AC47" s="782">
        <f t="shared" si="9"/>
        <v>0</v>
      </c>
      <c r="AD47" s="782">
        <f t="shared" si="9"/>
        <v>0</v>
      </c>
      <c r="AE47" s="782">
        <f t="shared" si="9"/>
        <v>0</v>
      </c>
      <c r="AF47" s="782">
        <f t="shared" si="9"/>
        <v>0</v>
      </c>
      <c r="AG47" s="782">
        <f t="shared" si="9"/>
        <v>0</v>
      </c>
      <c r="AH47" s="782">
        <f t="shared" si="9"/>
        <v>0</v>
      </c>
      <c r="AI47" s="782">
        <f t="shared" si="9"/>
        <v>0</v>
      </c>
      <c r="AJ47" s="782">
        <f t="shared" si="9"/>
        <v>0</v>
      </c>
      <c r="AK47" s="782">
        <f t="shared" si="9"/>
        <v>0</v>
      </c>
      <c r="AL47" s="782">
        <f t="shared" si="10"/>
        <v>0</v>
      </c>
      <c r="AM47" s="782">
        <f t="shared" si="10"/>
        <v>0</v>
      </c>
      <c r="AN47" s="782">
        <f t="shared" si="10"/>
        <v>0</v>
      </c>
      <c r="AO47" s="782">
        <f t="shared" si="10"/>
        <v>0</v>
      </c>
      <c r="AP47" s="782">
        <f t="shared" si="10"/>
        <v>0</v>
      </c>
      <c r="AQ47" s="782">
        <f t="shared" si="10"/>
        <v>0</v>
      </c>
      <c r="AR47" s="782">
        <f t="shared" si="10"/>
        <v>0</v>
      </c>
      <c r="AS47" s="782">
        <f t="shared" si="10"/>
        <v>0</v>
      </c>
      <c r="AT47" s="782">
        <f t="shared" si="10"/>
        <v>0</v>
      </c>
      <c r="AU47" s="782">
        <f t="shared" si="10"/>
        <v>0</v>
      </c>
      <c r="AV47" s="782">
        <f t="shared" si="10"/>
        <v>0</v>
      </c>
      <c r="AW47" s="782">
        <f t="shared" si="10"/>
        <v>0</v>
      </c>
      <c r="AX47" s="782">
        <f t="shared" si="10"/>
        <v>0</v>
      </c>
      <c r="AY47" s="782">
        <f t="shared" si="10"/>
        <v>0</v>
      </c>
    </row>
    <row r="48" spans="1:51" s="782" customFormat="1" ht="14.85" customHeight="1" x14ac:dyDescent="0.2">
      <c r="A48" s="786"/>
      <c r="D48" s="782">
        <v>5</v>
      </c>
      <c r="E48" s="783"/>
      <c r="F48" s="879"/>
      <c r="G48" s="880"/>
      <c r="H48" s="880"/>
      <c r="I48" s="880"/>
      <c r="J48" s="880"/>
      <c r="K48" s="880"/>
      <c r="L48" s="880"/>
      <c r="M48" s="880"/>
      <c r="N48" s="880"/>
      <c r="O48" s="786"/>
      <c r="P48" s="881"/>
      <c r="Q48" s="882"/>
      <c r="R48" s="783"/>
      <c r="S48" s="784"/>
      <c r="U48" s="782">
        <f t="shared" si="11"/>
        <v>0</v>
      </c>
      <c r="V48" s="782">
        <f t="shared" si="9"/>
        <v>0</v>
      </c>
      <c r="W48" s="782">
        <f>ROUND(SUMIFS($G48:$N48,$G$29:$N$29,"&lt;="&amp;W$29)*$P48,0)</f>
        <v>0</v>
      </c>
      <c r="X48" s="782">
        <f t="shared" si="9"/>
        <v>0</v>
      </c>
      <c r="Y48" s="782">
        <f t="shared" si="9"/>
        <v>0</v>
      </c>
      <c r="Z48" s="782">
        <f t="shared" si="9"/>
        <v>0</v>
      </c>
      <c r="AA48" s="782">
        <f t="shared" si="9"/>
        <v>0</v>
      </c>
      <c r="AB48" s="782">
        <f t="shared" si="9"/>
        <v>0</v>
      </c>
      <c r="AC48" s="782">
        <f t="shared" si="9"/>
        <v>0</v>
      </c>
      <c r="AD48" s="782">
        <f t="shared" si="9"/>
        <v>0</v>
      </c>
      <c r="AE48" s="782">
        <f t="shared" si="9"/>
        <v>0</v>
      </c>
      <c r="AF48" s="782">
        <f t="shared" si="9"/>
        <v>0</v>
      </c>
      <c r="AG48" s="782">
        <f t="shared" si="9"/>
        <v>0</v>
      </c>
      <c r="AH48" s="782">
        <f t="shared" si="9"/>
        <v>0</v>
      </c>
      <c r="AI48" s="782">
        <f t="shared" si="9"/>
        <v>0</v>
      </c>
      <c r="AJ48" s="782">
        <f t="shared" si="9"/>
        <v>0</v>
      </c>
      <c r="AK48" s="782">
        <f t="shared" si="9"/>
        <v>0</v>
      </c>
      <c r="AL48" s="782">
        <f t="shared" si="10"/>
        <v>0</v>
      </c>
      <c r="AM48" s="782">
        <f t="shared" si="10"/>
        <v>0</v>
      </c>
      <c r="AN48" s="782">
        <f t="shared" si="10"/>
        <v>0</v>
      </c>
      <c r="AO48" s="782">
        <f t="shared" si="10"/>
        <v>0</v>
      </c>
      <c r="AP48" s="782">
        <f t="shared" si="10"/>
        <v>0</v>
      </c>
      <c r="AQ48" s="782">
        <f t="shared" si="10"/>
        <v>0</v>
      </c>
      <c r="AR48" s="782">
        <f t="shared" si="10"/>
        <v>0</v>
      </c>
      <c r="AS48" s="782">
        <f t="shared" si="10"/>
        <v>0</v>
      </c>
      <c r="AT48" s="782">
        <f t="shared" si="10"/>
        <v>0</v>
      </c>
      <c r="AU48" s="782">
        <f t="shared" si="10"/>
        <v>0</v>
      </c>
      <c r="AV48" s="782">
        <f t="shared" si="10"/>
        <v>0</v>
      </c>
      <c r="AW48" s="782">
        <f t="shared" si="10"/>
        <v>0</v>
      </c>
      <c r="AX48" s="782">
        <f t="shared" si="10"/>
        <v>0</v>
      </c>
      <c r="AY48" s="782">
        <f t="shared" si="10"/>
        <v>0</v>
      </c>
    </row>
    <row r="49" spans="1:51" s="782" customFormat="1" ht="14.85" customHeight="1" x14ac:dyDescent="0.2">
      <c r="A49" s="786"/>
      <c r="D49" s="782">
        <v>6</v>
      </c>
      <c r="E49" s="783"/>
      <c r="F49" s="879"/>
      <c r="G49" s="880"/>
      <c r="H49" s="880"/>
      <c r="I49" s="880"/>
      <c r="J49" s="880"/>
      <c r="K49" s="880"/>
      <c r="L49" s="880"/>
      <c r="M49" s="880"/>
      <c r="N49" s="880"/>
      <c r="O49" s="786"/>
      <c r="P49" s="881"/>
      <c r="Q49" s="882"/>
      <c r="R49" s="783"/>
      <c r="S49" s="784"/>
      <c r="U49" s="782">
        <f t="shared" si="11"/>
        <v>0</v>
      </c>
      <c r="V49" s="782">
        <f t="shared" si="9"/>
        <v>0</v>
      </c>
      <c r="W49" s="782">
        <f t="shared" si="9"/>
        <v>0</v>
      </c>
      <c r="X49" s="782">
        <f t="shared" si="9"/>
        <v>0</v>
      </c>
      <c r="Y49" s="782">
        <f t="shared" si="9"/>
        <v>0</v>
      </c>
      <c r="Z49" s="782">
        <f t="shared" si="9"/>
        <v>0</v>
      </c>
      <c r="AA49" s="782">
        <f t="shared" si="9"/>
        <v>0</v>
      </c>
      <c r="AB49" s="782">
        <f t="shared" si="9"/>
        <v>0</v>
      </c>
      <c r="AC49" s="782">
        <f t="shared" si="9"/>
        <v>0</v>
      </c>
      <c r="AD49" s="782">
        <f t="shared" si="9"/>
        <v>0</v>
      </c>
      <c r="AE49" s="782">
        <f t="shared" si="9"/>
        <v>0</v>
      </c>
      <c r="AF49" s="782">
        <f t="shared" si="9"/>
        <v>0</v>
      </c>
      <c r="AG49" s="782">
        <f t="shared" si="9"/>
        <v>0</v>
      </c>
      <c r="AH49" s="782">
        <f t="shared" si="9"/>
        <v>0</v>
      </c>
      <c r="AI49" s="782">
        <f t="shared" si="9"/>
        <v>0</v>
      </c>
      <c r="AJ49" s="782">
        <f t="shared" si="9"/>
        <v>0</v>
      </c>
      <c r="AK49" s="782">
        <f t="shared" si="9"/>
        <v>0</v>
      </c>
      <c r="AL49" s="782">
        <f t="shared" si="10"/>
        <v>0</v>
      </c>
      <c r="AM49" s="782">
        <f t="shared" si="10"/>
        <v>0</v>
      </c>
      <c r="AN49" s="782">
        <f t="shared" si="10"/>
        <v>0</v>
      </c>
      <c r="AO49" s="782">
        <f t="shared" si="10"/>
        <v>0</v>
      </c>
      <c r="AP49" s="782">
        <f t="shared" si="10"/>
        <v>0</v>
      </c>
      <c r="AQ49" s="782">
        <f t="shared" si="10"/>
        <v>0</v>
      </c>
      <c r="AR49" s="782">
        <f t="shared" si="10"/>
        <v>0</v>
      </c>
      <c r="AS49" s="782">
        <f t="shared" si="10"/>
        <v>0</v>
      </c>
      <c r="AT49" s="782">
        <f t="shared" si="10"/>
        <v>0</v>
      </c>
      <c r="AU49" s="782">
        <f t="shared" si="10"/>
        <v>0</v>
      </c>
      <c r="AV49" s="782">
        <f t="shared" si="10"/>
        <v>0</v>
      </c>
      <c r="AW49" s="782">
        <f t="shared" si="10"/>
        <v>0</v>
      </c>
      <c r="AX49" s="782">
        <f t="shared" si="10"/>
        <v>0</v>
      </c>
      <c r="AY49" s="782">
        <f t="shared" si="10"/>
        <v>0</v>
      </c>
    </row>
    <row r="50" spans="1:51" s="782" customFormat="1" ht="14.85" customHeight="1" x14ac:dyDescent="0.2">
      <c r="A50" s="786"/>
      <c r="D50" s="782">
        <v>7</v>
      </c>
      <c r="E50" s="783"/>
      <c r="F50" s="879"/>
      <c r="G50" s="880"/>
      <c r="H50" s="880"/>
      <c r="I50" s="880"/>
      <c r="J50" s="880"/>
      <c r="K50" s="880"/>
      <c r="L50" s="880"/>
      <c r="M50" s="880"/>
      <c r="N50" s="880"/>
      <c r="O50" s="786"/>
      <c r="P50" s="881"/>
      <c r="Q50" s="882"/>
      <c r="R50" s="783"/>
      <c r="S50" s="784"/>
      <c r="U50" s="782">
        <f t="shared" si="11"/>
        <v>0</v>
      </c>
      <c r="V50" s="782">
        <f t="shared" si="9"/>
        <v>0</v>
      </c>
      <c r="W50" s="782">
        <f t="shared" si="9"/>
        <v>0</v>
      </c>
      <c r="X50" s="782">
        <f t="shared" si="9"/>
        <v>0</v>
      </c>
      <c r="Y50" s="782">
        <f t="shared" si="9"/>
        <v>0</v>
      </c>
      <c r="Z50" s="782">
        <f t="shared" si="9"/>
        <v>0</v>
      </c>
      <c r="AA50" s="782">
        <f t="shared" si="9"/>
        <v>0</v>
      </c>
      <c r="AB50" s="782">
        <f t="shared" si="9"/>
        <v>0</v>
      </c>
      <c r="AC50" s="782">
        <f t="shared" si="9"/>
        <v>0</v>
      </c>
      <c r="AD50" s="782">
        <f t="shared" si="9"/>
        <v>0</v>
      </c>
      <c r="AE50" s="782">
        <f t="shared" si="9"/>
        <v>0</v>
      </c>
      <c r="AF50" s="782">
        <f t="shared" si="9"/>
        <v>0</v>
      </c>
      <c r="AG50" s="782">
        <f t="shared" si="9"/>
        <v>0</v>
      </c>
      <c r="AH50" s="782">
        <f t="shared" si="9"/>
        <v>0</v>
      </c>
      <c r="AI50" s="782">
        <f t="shared" si="9"/>
        <v>0</v>
      </c>
      <c r="AJ50" s="782">
        <f t="shared" si="9"/>
        <v>0</v>
      </c>
      <c r="AK50" s="782">
        <f t="shared" si="9"/>
        <v>0</v>
      </c>
      <c r="AL50" s="782">
        <f t="shared" si="10"/>
        <v>0</v>
      </c>
      <c r="AM50" s="782">
        <f t="shared" si="10"/>
        <v>0</v>
      </c>
      <c r="AN50" s="782">
        <f t="shared" si="10"/>
        <v>0</v>
      </c>
      <c r="AO50" s="782">
        <f t="shared" si="10"/>
        <v>0</v>
      </c>
      <c r="AP50" s="782">
        <f t="shared" si="10"/>
        <v>0</v>
      </c>
      <c r="AQ50" s="782">
        <f t="shared" si="10"/>
        <v>0</v>
      </c>
      <c r="AR50" s="782">
        <f t="shared" si="10"/>
        <v>0</v>
      </c>
      <c r="AS50" s="782">
        <f t="shared" si="10"/>
        <v>0</v>
      </c>
      <c r="AT50" s="782">
        <f t="shared" si="10"/>
        <v>0</v>
      </c>
      <c r="AU50" s="782">
        <f t="shared" si="10"/>
        <v>0</v>
      </c>
      <c r="AV50" s="782">
        <f t="shared" si="10"/>
        <v>0</v>
      </c>
      <c r="AW50" s="782">
        <f t="shared" si="10"/>
        <v>0</v>
      </c>
      <c r="AX50" s="782">
        <f t="shared" si="10"/>
        <v>0</v>
      </c>
      <c r="AY50" s="782">
        <f t="shared" si="10"/>
        <v>0</v>
      </c>
    </row>
    <row r="51" spans="1:51" s="782" customFormat="1" ht="14.85" customHeight="1" x14ac:dyDescent="0.2">
      <c r="A51" s="786"/>
      <c r="D51" s="782">
        <v>8</v>
      </c>
      <c r="E51" s="783"/>
      <c r="F51" s="879"/>
      <c r="G51" s="880"/>
      <c r="H51" s="880"/>
      <c r="I51" s="880"/>
      <c r="J51" s="880"/>
      <c r="K51" s="880"/>
      <c r="L51" s="880"/>
      <c r="M51" s="880"/>
      <c r="N51" s="880"/>
      <c r="O51" s="786"/>
      <c r="P51" s="881"/>
      <c r="Q51" s="882"/>
      <c r="R51" s="783"/>
      <c r="S51" s="784"/>
      <c r="U51" s="782">
        <f t="shared" si="11"/>
        <v>0</v>
      </c>
      <c r="V51" s="782">
        <f t="shared" si="9"/>
        <v>0</v>
      </c>
      <c r="W51" s="782">
        <f t="shared" si="9"/>
        <v>0</v>
      </c>
      <c r="X51" s="782">
        <f t="shared" si="9"/>
        <v>0</v>
      </c>
      <c r="Y51" s="782">
        <f t="shared" si="9"/>
        <v>0</v>
      </c>
      <c r="Z51" s="782">
        <f t="shared" si="9"/>
        <v>0</v>
      </c>
      <c r="AA51" s="782">
        <f t="shared" si="9"/>
        <v>0</v>
      </c>
      <c r="AB51" s="782">
        <f t="shared" si="9"/>
        <v>0</v>
      </c>
      <c r="AC51" s="782">
        <f t="shared" si="9"/>
        <v>0</v>
      </c>
      <c r="AD51" s="782">
        <f t="shared" si="9"/>
        <v>0</v>
      </c>
      <c r="AE51" s="782">
        <f t="shared" si="9"/>
        <v>0</v>
      </c>
      <c r="AF51" s="782">
        <f t="shared" si="9"/>
        <v>0</v>
      </c>
      <c r="AG51" s="782">
        <f t="shared" si="9"/>
        <v>0</v>
      </c>
      <c r="AH51" s="782">
        <f t="shared" si="9"/>
        <v>0</v>
      </c>
      <c r="AI51" s="782">
        <f t="shared" si="9"/>
        <v>0</v>
      </c>
      <c r="AJ51" s="782">
        <f t="shared" si="9"/>
        <v>0</v>
      </c>
      <c r="AK51" s="782">
        <f t="shared" si="9"/>
        <v>0</v>
      </c>
      <c r="AL51" s="782">
        <f t="shared" si="10"/>
        <v>0</v>
      </c>
      <c r="AM51" s="782">
        <f t="shared" si="10"/>
        <v>0</v>
      </c>
      <c r="AN51" s="782">
        <f t="shared" si="10"/>
        <v>0</v>
      </c>
      <c r="AO51" s="782">
        <f t="shared" si="10"/>
        <v>0</v>
      </c>
      <c r="AP51" s="782">
        <f t="shared" si="10"/>
        <v>0</v>
      </c>
      <c r="AQ51" s="782">
        <f t="shared" si="10"/>
        <v>0</v>
      </c>
      <c r="AR51" s="782">
        <f t="shared" si="10"/>
        <v>0</v>
      </c>
      <c r="AS51" s="782">
        <f t="shared" si="10"/>
        <v>0</v>
      </c>
      <c r="AT51" s="782">
        <f t="shared" si="10"/>
        <v>0</v>
      </c>
      <c r="AU51" s="782">
        <f t="shared" si="10"/>
        <v>0</v>
      </c>
      <c r="AV51" s="782">
        <f t="shared" si="10"/>
        <v>0</v>
      </c>
      <c r="AW51" s="782">
        <f t="shared" si="10"/>
        <v>0</v>
      </c>
      <c r="AX51" s="782">
        <f t="shared" si="10"/>
        <v>0</v>
      </c>
      <c r="AY51" s="782">
        <f t="shared" si="10"/>
        <v>0</v>
      </c>
    </row>
    <row r="52" spans="1:51" s="782" customFormat="1" ht="14.85" customHeight="1" x14ac:dyDescent="0.2">
      <c r="A52" s="786"/>
      <c r="D52" s="782">
        <v>9</v>
      </c>
      <c r="E52" s="783"/>
      <c r="F52" s="879"/>
      <c r="G52" s="880"/>
      <c r="H52" s="880"/>
      <c r="I52" s="880"/>
      <c r="J52" s="880"/>
      <c r="K52" s="880"/>
      <c r="L52" s="880"/>
      <c r="M52" s="880"/>
      <c r="N52" s="880"/>
      <c r="O52" s="786"/>
      <c r="P52" s="881"/>
      <c r="Q52" s="882"/>
      <c r="R52" s="783"/>
      <c r="S52" s="784"/>
      <c r="U52" s="782">
        <f t="shared" si="11"/>
        <v>0</v>
      </c>
      <c r="V52" s="782">
        <f t="shared" si="9"/>
        <v>0</v>
      </c>
      <c r="W52" s="782">
        <f t="shared" si="9"/>
        <v>0</v>
      </c>
      <c r="X52" s="782">
        <f t="shared" si="9"/>
        <v>0</v>
      </c>
      <c r="Y52" s="782">
        <f t="shared" si="9"/>
        <v>0</v>
      </c>
      <c r="Z52" s="782">
        <f t="shared" si="9"/>
        <v>0</v>
      </c>
      <c r="AA52" s="782">
        <f t="shared" si="9"/>
        <v>0</v>
      </c>
      <c r="AB52" s="782">
        <f t="shared" si="9"/>
        <v>0</v>
      </c>
      <c r="AC52" s="782">
        <f t="shared" si="9"/>
        <v>0</v>
      </c>
      <c r="AD52" s="782">
        <f t="shared" si="9"/>
        <v>0</v>
      </c>
      <c r="AE52" s="782">
        <f t="shared" si="9"/>
        <v>0</v>
      </c>
      <c r="AF52" s="782">
        <f t="shared" si="9"/>
        <v>0</v>
      </c>
      <c r="AG52" s="782">
        <f t="shared" si="9"/>
        <v>0</v>
      </c>
      <c r="AH52" s="782">
        <f t="shared" si="9"/>
        <v>0</v>
      </c>
      <c r="AI52" s="782">
        <f t="shared" si="9"/>
        <v>0</v>
      </c>
      <c r="AJ52" s="782">
        <f t="shared" si="9"/>
        <v>0</v>
      </c>
      <c r="AK52" s="782">
        <f t="shared" si="9"/>
        <v>0</v>
      </c>
      <c r="AL52" s="782">
        <f t="shared" si="10"/>
        <v>0</v>
      </c>
      <c r="AM52" s="782">
        <f t="shared" si="10"/>
        <v>0</v>
      </c>
      <c r="AN52" s="782">
        <f t="shared" si="10"/>
        <v>0</v>
      </c>
      <c r="AO52" s="782">
        <f t="shared" si="10"/>
        <v>0</v>
      </c>
      <c r="AP52" s="782">
        <f t="shared" si="10"/>
        <v>0</v>
      </c>
      <c r="AQ52" s="782">
        <f t="shared" si="10"/>
        <v>0</v>
      </c>
      <c r="AR52" s="782">
        <f t="shared" si="10"/>
        <v>0</v>
      </c>
      <c r="AS52" s="782">
        <f t="shared" si="10"/>
        <v>0</v>
      </c>
      <c r="AT52" s="782">
        <f t="shared" si="10"/>
        <v>0</v>
      </c>
      <c r="AU52" s="782">
        <f t="shared" si="10"/>
        <v>0</v>
      </c>
      <c r="AV52" s="782">
        <f t="shared" si="10"/>
        <v>0</v>
      </c>
      <c r="AW52" s="782">
        <f t="shared" si="10"/>
        <v>0</v>
      </c>
      <c r="AX52" s="782">
        <f t="shared" si="10"/>
        <v>0</v>
      </c>
      <c r="AY52" s="782">
        <f t="shared" si="10"/>
        <v>0</v>
      </c>
    </row>
    <row r="53" spans="1:51" s="782" customFormat="1" ht="14.85" customHeight="1" x14ac:dyDescent="0.2">
      <c r="A53" s="786"/>
      <c r="D53" s="782">
        <v>10</v>
      </c>
      <c r="E53" s="783"/>
      <c r="F53" s="879"/>
      <c r="G53" s="880"/>
      <c r="H53" s="880"/>
      <c r="I53" s="880"/>
      <c r="J53" s="880"/>
      <c r="K53" s="880"/>
      <c r="L53" s="880"/>
      <c r="M53" s="880"/>
      <c r="N53" s="880"/>
      <c r="O53" s="786"/>
      <c r="P53" s="881"/>
      <c r="Q53" s="882"/>
      <c r="R53" s="783"/>
      <c r="S53" s="784"/>
      <c r="U53" s="782">
        <f t="shared" si="11"/>
        <v>0</v>
      </c>
      <c r="V53" s="782">
        <f t="shared" si="9"/>
        <v>0</v>
      </c>
      <c r="W53" s="782">
        <f t="shared" si="9"/>
        <v>0</v>
      </c>
      <c r="X53" s="782">
        <f t="shared" si="9"/>
        <v>0</v>
      </c>
      <c r="Y53" s="782">
        <f t="shared" si="9"/>
        <v>0</v>
      </c>
      <c r="Z53" s="782">
        <f t="shared" si="9"/>
        <v>0</v>
      </c>
      <c r="AA53" s="782">
        <f t="shared" si="9"/>
        <v>0</v>
      </c>
      <c r="AB53" s="782">
        <f t="shared" si="9"/>
        <v>0</v>
      </c>
      <c r="AC53" s="782">
        <f t="shared" si="9"/>
        <v>0</v>
      </c>
      <c r="AD53" s="782">
        <f t="shared" si="9"/>
        <v>0</v>
      </c>
      <c r="AE53" s="782">
        <f t="shared" si="9"/>
        <v>0</v>
      </c>
      <c r="AF53" s="782">
        <f t="shared" si="9"/>
        <v>0</v>
      </c>
      <c r="AG53" s="782">
        <f t="shared" si="9"/>
        <v>0</v>
      </c>
      <c r="AH53" s="782">
        <f t="shared" si="9"/>
        <v>0</v>
      </c>
      <c r="AI53" s="782">
        <f t="shared" si="9"/>
        <v>0</v>
      </c>
      <c r="AJ53" s="782">
        <f t="shared" si="9"/>
        <v>0</v>
      </c>
      <c r="AK53" s="782">
        <f t="shared" si="9"/>
        <v>0</v>
      </c>
      <c r="AL53" s="782">
        <f t="shared" si="10"/>
        <v>0</v>
      </c>
      <c r="AM53" s="782">
        <f t="shared" si="10"/>
        <v>0</v>
      </c>
      <c r="AN53" s="782">
        <f t="shared" si="10"/>
        <v>0</v>
      </c>
      <c r="AO53" s="782">
        <f t="shared" si="10"/>
        <v>0</v>
      </c>
      <c r="AP53" s="782">
        <f t="shared" si="10"/>
        <v>0</v>
      </c>
      <c r="AQ53" s="782">
        <f t="shared" si="10"/>
        <v>0</v>
      </c>
      <c r="AR53" s="782">
        <f t="shared" si="10"/>
        <v>0</v>
      </c>
      <c r="AS53" s="782">
        <f t="shared" si="10"/>
        <v>0</v>
      </c>
      <c r="AT53" s="782">
        <f t="shared" si="10"/>
        <v>0</v>
      </c>
      <c r="AU53" s="782">
        <f t="shared" si="10"/>
        <v>0</v>
      </c>
      <c r="AV53" s="782">
        <f t="shared" si="10"/>
        <v>0</v>
      </c>
      <c r="AW53" s="782">
        <f t="shared" si="10"/>
        <v>0</v>
      </c>
      <c r="AX53" s="782">
        <f t="shared" si="10"/>
        <v>0</v>
      </c>
      <c r="AY53" s="782">
        <f t="shared" si="10"/>
        <v>0</v>
      </c>
    </row>
    <row r="54" spans="1:51" s="782" customFormat="1" ht="14.85" customHeight="1" x14ac:dyDescent="0.2">
      <c r="A54" s="786"/>
      <c r="E54" s="783"/>
      <c r="O54" s="786"/>
      <c r="R54" s="783"/>
      <c r="S54" s="784"/>
      <c r="U54" s="878"/>
    </row>
    <row r="55" spans="1:51" s="782" customFormat="1" ht="14.85" customHeight="1" x14ac:dyDescent="0.2">
      <c r="A55" s="786"/>
      <c r="B55" s="788" t="s">
        <v>501</v>
      </c>
      <c r="C55" s="788"/>
      <c r="D55" s="788"/>
      <c r="E55" s="788"/>
      <c r="F55" s="788"/>
      <c r="G55" s="883"/>
      <c r="H55" s="883"/>
      <c r="I55" s="883"/>
      <c r="J55" s="883"/>
      <c r="K55" s="883"/>
      <c r="L55" s="883"/>
      <c r="M55" s="883"/>
      <c r="N55" s="883"/>
      <c r="O55" s="786"/>
      <c r="P55" s="788"/>
      <c r="Q55" s="788"/>
      <c r="R55" s="783"/>
      <c r="S55" s="784"/>
      <c r="U55" s="878"/>
    </row>
    <row r="56" spans="1:51" s="787" customFormat="1" ht="14.85" customHeight="1" x14ac:dyDescent="0.2">
      <c r="A56" s="786"/>
      <c r="B56" s="884"/>
      <c r="C56" s="884"/>
      <c r="D56" s="884"/>
      <c r="E56" s="884"/>
      <c r="F56" s="884"/>
      <c r="G56" s="885"/>
      <c r="H56" s="885"/>
      <c r="I56" s="885"/>
      <c r="J56" s="885"/>
      <c r="K56" s="885"/>
      <c r="L56" s="885"/>
      <c r="M56" s="885"/>
      <c r="N56" s="885"/>
      <c r="O56" s="786"/>
      <c r="P56" s="884"/>
      <c r="Q56" s="884"/>
      <c r="R56" s="786"/>
      <c r="S56" s="794"/>
      <c r="U56" s="795"/>
    </row>
    <row r="57" spans="1:51" s="782" customFormat="1" ht="14.85" customHeight="1" x14ac:dyDescent="0.15">
      <c r="A57" s="786"/>
      <c r="B57" s="884"/>
      <c r="C57" s="631"/>
      <c r="D57" s="632"/>
      <c r="E57" s="632"/>
      <c r="F57" s="632"/>
      <c r="G57" s="563" t="s">
        <v>503</v>
      </c>
      <c r="H57" s="563" t="s">
        <v>504</v>
      </c>
      <c r="I57" s="563" t="s">
        <v>506</v>
      </c>
      <c r="J57" s="885"/>
      <c r="K57" s="885"/>
      <c r="L57" s="885"/>
      <c r="M57" s="885"/>
      <c r="N57" s="885"/>
      <c r="O57" s="786"/>
      <c r="P57" s="884"/>
      <c r="Q57" s="884"/>
      <c r="R57" s="783"/>
      <c r="S57" s="784"/>
      <c r="U57" s="878"/>
    </row>
    <row r="58" spans="1:51" s="782" customFormat="1" ht="14.85" customHeight="1" x14ac:dyDescent="0.2">
      <c r="A58" s="786"/>
      <c r="C58" s="929" t="s">
        <v>502</v>
      </c>
      <c r="D58" s="927"/>
      <c r="E58" s="927"/>
      <c r="F58" s="927"/>
      <c r="G58" s="930">
        <f>SUMIF(Begroting!E113:E129,"grondgebonden woningen",Begroting!D113:D129)</f>
        <v>0</v>
      </c>
      <c r="H58" s="930">
        <f>L64</f>
        <v>0</v>
      </c>
      <c r="I58" s="928" t="b">
        <f>G58=H58</f>
        <v>1</v>
      </c>
      <c r="J58" s="885"/>
      <c r="K58" s="885"/>
      <c r="L58" s="885"/>
      <c r="M58" s="885"/>
      <c r="N58" s="885"/>
      <c r="O58" s="786"/>
      <c r="P58" s="884"/>
      <c r="Q58" s="884"/>
      <c r="R58" s="783"/>
      <c r="S58" s="784"/>
      <c r="U58" s="878"/>
    </row>
    <row r="59" spans="1:51" s="782" customFormat="1" ht="14.85" customHeight="1" x14ac:dyDescent="0.2">
      <c r="A59" s="786"/>
      <c r="B59" s="884"/>
      <c r="C59" s="929" t="s">
        <v>505</v>
      </c>
      <c r="D59" s="927"/>
      <c r="E59" s="927"/>
      <c r="F59" s="927"/>
      <c r="G59" s="930">
        <f>SUMIF(Begroting!E113:E129,"gestapelde woningen",Begroting!D113:D129)</f>
        <v>0</v>
      </c>
      <c r="H59" s="930">
        <f>L68</f>
        <v>0</v>
      </c>
      <c r="I59" s="928" t="b">
        <f>G59=H59</f>
        <v>1</v>
      </c>
      <c r="J59" s="885"/>
      <c r="K59" s="885"/>
      <c r="L59" s="885"/>
      <c r="M59" s="885"/>
      <c r="N59" s="885"/>
      <c r="O59" s="786"/>
      <c r="P59" s="884"/>
      <c r="Q59" s="884"/>
      <c r="R59" s="783"/>
      <c r="S59" s="784"/>
      <c r="U59" s="878"/>
    </row>
    <row r="60" spans="1:51" s="782" customFormat="1" ht="14.85" customHeight="1" x14ac:dyDescent="0.2">
      <c r="A60" s="787"/>
      <c r="B60" s="783"/>
      <c r="E60" s="783"/>
      <c r="N60" s="796"/>
      <c r="O60" s="783"/>
      <c r="P60" s="796"/>
      <c r="R60" s="783"/>
      <c r="S60" s="784"/>
    </row>
    <row r="61" spans="1:51" s="782" customFormat="1" ht="14.85" hidden="1" customHeight="1" outlineLevel="1" x14ac:dyDescent="0.2">
      <c r="A61" s="786"/>
      <c r="B61" s="783"/>
      <c r="E61" s="783"/>
      <c r="K61" s="861"/>
      <c r="O61" s="783"/>
      <c r="R61" s="783"/>
      <c r="S61" s="784"/>
    </row>
    <row r="62" spans="1:51" s="782" customFormat="1" ht="14.85" customHeight="1" collapsed="1" x14ac:dyDescent="0.2">
      <c r="A62" s="786"/>
      <c r="B62" s="788" t="s">
        <v>500</v>
      </c>
      <c r="C62" s="788"/>
      <c r="D62" s="788"/>
      <c r="E62" s="788"/>
      <c r="F62" s="788"/>
      <c r="G62" s="788"/>
      <c r="H62" s="788"/>
      <c r="I62" s="788"/>
      <c r="J62" s="788"/>
      <c r="K62" s="788"/>
      <c r="L62" s="788"/>
      <c r="M62" s="788"/>
      <c r="N62" s="788"/>
      <c r="O62" s="788"/>
      <c r="P62" s="788"/>
      <c r="Q62" s="788"/>
      <c r="R62" s="783"/>
      <c r="S62" s="784"/>
    </row>
    <row r="63" spans="1:51" s="782" customFormat="1" ht="14.85" customHeight="1" outlineLevel="1" x14ac:dyDescent="0.2">
      <c r="A63" s="787"/>
      <c r="B63" s="783"/>
      <c r="C63" s="886" t="s">
        <v>302</v>
      </c>
      <c r="D63" s="887"/>
      <c r="E63" s="887"/>
      <c r="F63" s="887"/>
      <c r="G63" s="887"/>
      <c r="H63" s="888" t="s">
        <v>206</v>
      </c>
      <c r="I63" s="887"/>
      <c r="J63" s="887"/>
      <c r="K63" s="887"/>
      <c r="L63" s="887"/>
      <c r="M63" s="887"/>
      <c r="N63" s="889"/>
      <c r="O63" s="887"/>
      <c r="P63" s="889"/>
      <c r="Q63" s="889"/>
      <c r="R63" s="887"/>
      <c r="S63" s="890"/>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7"/>
      <c r="AY63" s="887"/>
    </row>
    <row r="64" spans="1:51" s="782" customFormat="1" ht="14.85" customHeight="1" outlineLevel="1" x14ac:dyDescent="0.2">
      <c r="A64" s="787"/>
      <c r="B64" s="783"/>
      <c r="C64" s="891"/>
      <c r="D64" s="892"/>
      <c r="E64" s="892"/>
      <c r="F64" s="892" t="s">
        <v>301</v>
      </c>
      <c r="G64" s="892"/>
      <c r="H64" s="892" t="s">
        <v>231</v>
      </c>
      <c r="I64" s="892"/>
      <c r="J64" s="892" t="s">
        <v>300</v>
      </c>
      <c r="K64" s="892"/>
      <c r="L64" s="893">
        <f>SUM(U64:AY64)</f>
        <v>0</v>
      </c>
      <c r="M64" s="892"/>
      <c r="N64" s="894"/>
      <c r="O64" s="892"/>
      <c r="P64" s="894"/>
      <c r="Q64" s="894"/>
      <c r="R64" s="892"/>
      <c r="S64" s="895"/>
      <c r="T64" s="892"/>
      <c r="U64" s="896">
        <f t="shared" ref="U64:AY64" si="12">SUM(U31:U40)-SUM(T31:T40)</f>
        <v>0</v>
      </c>
      <c r="V64" s="896">
        <f t="shared" si="12"/>
        <v>0</v>
      </c>
      <c r="W64" s="896">
        <f>SUM(W31:W40)-SUM(V31:V40)</f>
        <v>0</v>
      </c>
      <c r="X64" s="896">
        <f>SUM(X31:X40)-SUM(W31:W40)</f>
        <v>0</v>
      </c>
      <c r="Y64" s="896">
        <f>SUM(Y31:Y40)-SUM(X31:X40)</f>
        <v>0</v>
      </c>
      <c r="Z64" s="896">
        <f t="shared" si="12"/>
        <v>0</v>
      </c>
      <c r="AA64" s="896">
        <f t="shared" si="12"/>
        <v>0</v>
      </c>
      <c r="AB64" s="896">
        <f t="shared" si="12"/>
        <v>0</v>
      </c>
      <c r="AC64" s="896">
        <f t="shared" si="12"/>
        <v>0</v>
      </c>
      <c r="AD64" s="896">
        <f t="shared" si="12"/>
        <v>0</v>
      </c>
      <c r="AE64" s="896">
        <f t="shared" si="12"/>
        <v>0</v>
      </c>
      <c r="AF64" s="896">
        <f t="shared" si="12"/>
        <v>0</v>
      </c>
      <c r="AG64" s="896">
        <f t="shared" si="12"/>
        <v>0</v>
      </c>
      <c r="AH64" s="896">
        <f t="shared" si="12"/>
        <v>0</v>
      </c>
      <c r="AI64" s="896">
        <f t="shared" si="12"/>
        <v>0</v>
      </c>
      <c r="AJ64" s="896">
        <f t="shared" si="12"/>
        <v>0</v>
      </c>
      <c r="AK64" s="896">
        <f t="shared" si="12"/>
        <v>0</v>
      </c>
      <c r="AL64" s="896">
        <f t="shared" si="12"/>
        <v>0</v>
      </c>
      <c r="AM64" s="896">
        <f t="shared" si="12"/>
        <v>0</v>
      </c>
      <c r="AN64" s="896">
        <f t="shared" si="12"/>
        <v>0</v>
      </c>
      <c r="AO64" s="896">
        <f t="shared" si="12"/>
        <v>0</v>
      </c>
      <c r="AP64" s="896">
        <f t="shared" si="12"/>
        <v>0</v>
      </c>
      <c r="AQ64" s="896">
        <f t="shared" si="12"/>
        <v>0</v>
      </c>
      <c r="AR64" s="896">
        <f t="shared" si="12"/>
        <v>0</v>
      </c>
      <c r="AS64" s="896">
        <f t="shared" si="12"/>
        <v>0</v>
      </c>
      <c r="AT64" s="896">
        <f t="shared" si="12"/>
        <v>0</v>
      </c>
      <c r="AU64" s="896">
        <f t="shared" si="12"/>
        <v>0</v>
      </c>
      <c r="AV64" s="896">
        <f t="shared" si="12"/>
        <v>0</v>
      </c>
      <c r="AW64" s="896">
        <f t="shared" si="12"/>
        <v>0</v>
      </c>
      <c r="AX64" s="896">
        <f t="shared" si="12"/>
        <v>0</v>
      </c>
      <c r="AY64" s="896">
        <f t="shared" si="12"/>
        <v>0</v>
      </c>
    </row>
    <row r="65" spans="1:51" s="782" customFormat="1" ht="14.85" customHeight="1" outlineLevel="1" x14ac:dyDescent="0.2">
      <c r="A65" s="787"/>
      <c r="B65" s="783"/>
      <c r="C65" s="897"/>
      <c r="D65" s="898"/>
      <c r="E65" s="892"/>
      <c r="F65" s="892" t="s">
        <v>299</v>
      </c>
      <c r="G65" s="892"/>
      <c r="H65" s="892" t="s">
        <v>231</v>
      </c>
      <c r="I65" s="892"/>
      <c r="J65" s="892"/>
      <c r="K65" s="892"/>
      <c r="L65" s="892"/>
      <c r="M65" s="892"/>
      <c r="N65" s="892"/>
      <c r="O65" s="892"/>
      <c r="P65" s="892"/>
      <c r="Q65" s="892"/>
      <c r="R65" s="892"/>
      <c r="S65" s="895"/>
      <c r="T65" s="892"/>
      <c r="U65" s="896">
        <f>SUM($U64:U64)</f>
        <v>0</v>
      </c>
      <c r="V65" s="896">
        <f>SUM($U64:V64)</f>
        <v>0</v>
      </c>
      <c r="W65" s="896">
        <f>SUM($U64:W64)</f>
        <v>0</v>
      </c>
      <c r="X65" s="896">
        <f>SUM($U64:X64)</f>
        <v>0</v>
      </c>
      <c r="Y65" s="896">
        <f>SUM($U64:Y64)</f>
        <v>0</v>
      </c>
      <c r="Z65" s="896">
        <f>SUM($U64:Z64)</f>
        <v>0</v>
      </c>
      <c r="AA65" s="896">
        <f>SUM($U64:AA64)</f>
        <v>0</v>
      </c>
      <c r="AB65" s="896">
        <f>SUM($U64:AB64)</f>
        <v>0</v>
      </c>
      <c r="AC65" s="896">
        <f>SUM($U64:AC64)</f>
        <v>0</v>
      </c>
      <c r="AD65" s="896">
        <f>SUM($U64:AD64)</f>
        <v>0</v>
      </c>
      <c r="AE65" s="896">
        <f>SUM($U64:AE64)</f>
        <v>0</v>
      </c>
      <c r="AF65" s="896">
        <f>SUM($U64:AF64)</f>
        <v>0</v>
      </c>
      <c r="AG65" s="896">
        <f>SUM($U64:AG64)</f>
        <v>0</v>
      </c>
      <c r="AH65" s="896">
        <f>SUM($U64:AH64)</f>
        <v>0</v>
      </c>
      <c r="AI65" s="896">
        <f>SUM($U64:AI64)</f>
        <v>0</v>
      </c>
      <c r="AJ65" s="896">
        <f>SUM($U64:AJ64)</f>
        <v>0</v>
      </c>
      <c r="AK65" s="896">
        <f>SUM($U64:AK64)</f>
        <v>0</v>
      </c>
      <c r="AL65" s="896">
        <f>SUM($U64:AL64)</f>
        <v>0</v>
      </c>
      <c r="AM65" s="896">
        <f>SUM($U64:AM64)</f>
        <v>0</v>
      </c>
      <c r="AN65" s="896">
        <f>SUM($U64:AN64)</f>
        <v>0</v>
      </c>
      <c r="AO65" s="896">
        <f>SUM($U64:AO64)</f>
        <v>0</v>
      </c>
      <c r="AP65" s="896">
        <f>SUM($U64:AP64)</f>
        <v>0</v>
      </c>
      <c r="AQ65" s="896">
        <f>SUM($U64:AQ64)</f>
        <v>0</v>
      </c>
      <c r="AR65" s="896">
        <f>SUM($U64:AR64)</f>
        <v>0</v>
      </c>
      <c r="AS65" s="896">
        <f>SUM($U64:AS64)</f>
        <v>0</v>
      </c>
      <c r="AT65" s="896">
        <f>SUM($U64:AT64)</f>
        <v>0</v>
      </c>
      <c r="AU65" s="896">
        <f>SUM($U64:AU64)</f>
        <v>0</v>
      </c>
      <c r="AV65" s="896">
        <f>SUM($U64:AV64)</f>
        <v>0</v>
      </c>
      <c r="AW65" s="896">
        <f>SUM($U64:AW64)</f>
        <v>0</v>
      </c>
      <c r="AX65" s="896">
        <f>SUM($U64:AX64)</f>
        <v>0</v>
      </c>
      <c r="AY65" s="896">
        <f>SUM($U64:AY64)</f>
        <v>0</v>
      </c>
    </row>
    <row r="66" spans="1:51" s="782" customFormat="1" ht="14.85" customHeight="1" outlineLevel="1" x14ac:dyDescent="0.2">
      <c r="A66" s="787"/>
      <c r="B66" s="783"/>
      <c r="C66" s="899"/>
      <c r="D66" s="900"/>
      <c r="E66" s="901"/>
      <c r="F66" s="901" t="s">
        <v>298</v>
      </c>
      <c r="G66" s="901"/>
      <c r="H66" s="901" t="s">
        <v>292</v>
      </c>
      <c r="I66" s="901"/>
      <c r="J66" s="901"/>
      <c r="K66" s="901"/>
      <c r="L66" s="901"/>
      <c r="M66" s="901"/>
      <c r="N66" s="901"/>
      <c r="O66" s="901"/>
      <c r="P66" s="901"/>
      <c r="Q66" s="901"/>
      <c r="R66" s="901"/>
      <c r="S66" s="902"/>
      <c r="T66" s="901"/>
      <c r="U66" s="896"/>
      <c r="V66" s="903">
        <f t="shared" ref="V66:AY66" si="13">SUMPRODUCT(U31:U40,$Q$31:$Q$40)</f>
        <v>0</v>
      </c>
      <c r="W66" s="903">
        <f t="shared" si="13"/>
        <v>0</v>
      </c>
      <c r="X66" s="903">
        <f t="shared" si="13"/>
        <v>0</v>
      </c>
      <c r="Y66" s="903">
        <f t="shared" si="13"/>
        <v>0</v>
      </c>
      <c r="Z66" s="903">
        <f t="shared" si="13"/>
        <v>0</v>
      </c>
      <c r="AA66" s="903">
        <f t="shared" si="13"/>
        <v>0</v>
      </c>
      <c r="AB66" s="903">
        <f t="shared" si="13"/>
        <v>0</v>
      </c>
      <c r="AC66" s="903">
        <f t="shared" si="13"/>
        <v>0</v>
      </c>
      <c r="AD66" s="903">
        <f t="shared" si="13"/>
        <v>0</v>
      </c>
      <c r="AE66" s="903">
        <f t="shared" si="13"/>
        <v>0</v>
      </c>
      <c r="AF66" s="903">
        <f t="shared" si="13"/>
        <v>0</v>
      </c>
      <c r="AG66" s="903">
        <f t="shared" si="13"/>
        <v>0</v>
      </c>
      <c r="AH66" s="903">
        <f t="shared" si="13"/>
        <v>0</v>
      </c>
      <c r="AI66" s="903">
        <f t="shared" si="13"/>
        <v>0</v>
      </c>
      <c r="AJ66" s="903">
        <f t="shared" si="13"/>
        <v>0</v>
      </c>
      <c r="AK66" s="903">
        <f t="shared" si="13"/>
        <v>0</v>
      </c>
      <c r="AL66" s="903">
        <f t="shared" si="13"/>
        <v>0</v>
      </c>
      <c r="AM66" s="903">
        <f t="shared" si="13"/>
        <v>0</v>
      </c>
      <c r="AN66" s="903">
        <f t="shared" si="13"/>
        <v>0</v>
      </c>
      <c r="AO66" s="903">
        <f t="shared" si="13"/>
        <v>0</v>
      </c>
      <c r="AP66" s="903">
        <f t="shared" si="13"/>
        <v>0</v>
      </c>
      <c r="AQ66" s="903">
        <f t="shared" si="13"/>
        <v>0</v>
      </c>
      <c r="AR66" s="903">
        <f t="shared" si="13"/>
        <v>0</v>
      </c>
      <c r="AS66" s="903">
        <f t="shared" si="13"/>
        <v>0</v>
      </c>
      <c r="AT66" s="903">
        <f t="shared" si="13"/>
        <v>0</v>
      </c>
      <c r="AU66" s="903">
        <f t="shared" si="13"/>
        <v>0</v>
      </c>
      <c r="AV66" s="903">
        <f t="shared" si="13"/>
        <v>0</v>
      </c>
      <c r="AW66" s="903">
        <f t="shared" si="13"/>
        <v>0</v>
      </c>
      <c r="AX66" s="903">
        <f t="shared" si="13"/>
        <v>0</v>
      </c>
      <c r="AY66" s="903">
        <f t="shared" si="13"/>
        <v>0</v>
      </c>
    </row>
    <row r="67" spans="1:51" s="782" customFormat="1" ht="14.85" customHeight="1" outlineLevel="1" x14ac:dyDescent="0.2">
      <c r="A67" s="786"/>
      <c r="B67" s="783"/>
      <c r="C67" s="904" t="s">
        <v>297</v>
      </c>
      <c r="D67" s="905"/>
      <c r="E67" s="905"/>
      <c r="F67" s="905"/>
      <c r="G67" s="905"/>
      <c r="H67" s="906"/>
      <c r="I67" s="905"/>
      <c r="J67" s="905"/>
      <c r="K67" s="905"/>
      <c r="L67" s="905"/>
      <c r="M67" s="905"/>
      <c r="N67" s="907"/>
      <c r="O67" s="905"/>
      <c r="P67" s="907"/>
      <c r="Q67" s="907"/>
      <c r="R67" s="905"/>
      <c r="S67" s="908"/>
      <c r="T67" s="905"/>
      <c r="U67" s="887"/>
      <c r="V67" s="887"/>
      <c r="W67" s="887"/>
      <c r="X67" s="887"/>
      <c r="Y67" s="887"/>
      <c r="Z67" s="887"/>
      <c r="AA67" s="887"/>
      <c r="AB67" s="887"/>
      <c r="AC67" s="887"/>
      <c r="AD67" s="887"/>
      <c r="AE67" s="887"/>
      <c r="AF67" s="887"/>
      <c r="AG67" s="887"/>
      <c r="AH67" s="887"/>
      <c r="AI67" s="887"/>
      <c r="AJ67" s="887"/>
      <c r="AK67" s="887"/>
      <c r="AL67" s="887"/>
      <c r="AM67" s="887"/>
      <c r="AN67" s="887"/>
      <c r="AO67" s="887"/>
      <c r="AP67" s="887"/>
      <c r="AQ67" s="887"/>
      <c r="AR67" s="887"/>
      <c r="AS67" s="887"/>
      <c r="AT67" s="887"/>
      <c r="AU67" s="887"/>
      <c r="AV67" s="887"/>
      <c r="AW67" s="887"/>
      <c r="AX67" s="887"/>
      <c r="AY67" s="887"/>
    </row>
    <row r="68" spans="1:51" s="782" customFormat="1" ht="14.85" customHeight="1" outlineLevel="1" x14ac:dyDescent="0.2">
      <c r="A68" s="786"/>
      <c r="B68" s="783"/>
      <c r="C68" s="891"/>
      <c r="D68" s="892"/>
      <c r="E68" s="892"/>
      <c r="F68" s="892" t="s">
        <v>296</v>
      </c>
      <c r="G68" s="892"/>
      <c r="H68" s="892" t="s">
        <v>231</v>
      </c>
      <c r="I68" s="892"/>
      <c r="J68" s="892" t="s">
        <v>295</v>
      </c>
      <c r="K68" s="892"/>
      <c r="L68" s="893">
        <f>SUM(U68:AY68)</f>
        <v>0</v>
      </c>
      <c r="M68" s="892"/>
      <c r="N68" s="894"/>
      <c r="O68" s="892"/>
      <c r="P68" s="894"/>
      <c r="Q68" s="894"/>
      <c r="R68" s="892"/>
      <c r="S68" s="895"/>
      <c r="T68" s="892"/>
      <c r="U68" s="896">
        <f t="shared" ref="U68:AY68" si="14">SUM(U44:U53)-SUM(T44:T53)</f>
        <v>0</v>
      </c>
      <c r="V68" s="896">
        <f t="shared" si="14"/>
        <v>0</v>
      </c>
      <c r="W68" s="896">
        <f t="shared" si="14"/>
        <v>0</v>
      </c>
      <c r="X68" s="896">
        <f t="shared" si="14"/>
        <v>0</v>
      </c>
      <c r="Y68" s="896">
        <f t="shared" si="14"/>
        <v>0</v>
      </c>
      <c r="Z68" s="896">
        <f t="shared" si="14"/>
        <v>0</v>
      </c>
      <c r="AA68" s="896">
        <f t="shared" si="14"/>
        <v>0</v>
      </c>
      <c r="AB68" s="896">
        <f t="shared" si="14"/>
        <v>0</v>
      </c>
      <c r="AC68" s="896">
        <f t="shared" si="14"/>
        <v>0</v>
      </c>
      <c r="AD68" s="896">
        <f t="shared" si="14"/>
        <v>0</v>
      </c>
      <c r="AE68" s="896">
        <f t="shared" si="14"/>
        <v>0</v>
      </c>
      <c r="AF68" s="896">
        <f t="shared" si="14"/>
        <v>0</v>
      </c>
      <c r="AG68" s="896">
        <f t="shared" si="14"/>
        <v>0</v>
      </c>
      <c r="AH68" s="896">
        <f t="shared" si="14"/>
        <v>0</v>
      </c>
      <c r="AI68" s="896">
        <f t="shared" si="14"/>
        <v>0</v>
      </c>
      <c r="AJ68" s="896">
        <f t="shared" si="14"/>
        <v>0</v>
      </c>
      <c r="AK68" s="896">
        <f t="shared" si="14"/>
        <v>0</v>
      </c>
      <c r="AL68" s="896">
        <f t="shared" si="14"/>
        <v>0</v>
      </c>
      <c r="AM68" s="896">
        <f t="shared" si="14"/>
        <v>0</v>
      </c>
      <c r="AN68" s="896">
        <f t="shared" si="14"/>
        <v>0</v>
      </c>
      <c r="AO68" s="896">
        <f t="shared" si="14"/>
        <v>0</v>
      </c>
      <c r="AP68" s="896">
        <f t="shared" si="14"/>
        <v>0</v>
      </c>
      <c r="AQ68" s="896">
        <f t="shared" si="14"/>
        <v>0</v>
      </c>
      <c r="AR68" s="896">
        <f t="shared" si="14"/>
        <v>0</v>
      </c>
      <c r="AS68" s="896">
        <f t="shared" si="14"/>
        <v>0</v>
      </c>
      <c r="AT68" s="896">
        <f t="shared" si="14"/>
        <v>0</v>
      </c>
      <c r="AU68" s="896">
        <f t="shared" si="14"/>
        <v>0</v>
      </c>
      <c r="AV68" s="896">
        <f t="shared" si="14"/>
        <v>0</v>
      </c>
      <c r="AW68" s="896">
        <f t="shared" si="14"/>
        <v>0</v>
      </c>
      <c r="AX68" s="896">
        <f t="shared" si="14"/>
        <v>0</v>
      </c>
      <c r="AY68" s="896">
        <f t="shared" si="14"/>
        <v>0</v>
      </c>
    </row>
    <row r="69" spans="1:51" s="782" customFormat="1" ht="14.85" customHeight="1" outlineLevel="1" x14ac:dyDescent="0.2">
      <c r="A69" s="786"/>
      <c r="B69" s="783"/>
      <c r="C69" s="897"/>
      <c r="D69" s="898"/>
      <c r="E69" s="892"/>
      <c r="F69" s="892" t="s">
        <v>294</v>
      </c>
      <c r="G69" s="892"/>
      <c r="H69" s="892" t="s">
        <v>231</v>
      </c>
      <c r="I69" s="892"/>
      <c r="J69" s="892"/>
      <c r="K69" s="892"/>
      <c r="L69" s="892"/>
      <c r="M69" s="892"/>
      <c r="N69" s="892"/>
      <c r="O69" s="892"/>
      <c r="P69" s="892"/>
      <c r="Q69" s="892"/>
      <c r="R69" s="892"/>
      <c r="S69" s="895"/>
      <c r="T69" s="892"/>
      <c r="U69" s="896">
        <f>SUM($U68:U68)</f>
        <v>0</v>
      </c>
      <c r="V69" s="896">
        <f>SUM($U68:V68)</f>
        <v>0</v>
      </c>
      <c r="W69" s="896">
        <f>SUM($U68:W68)</f>
        <v>0</v>
      </c>
      <c r="X69" s="896">
        <f>SUM($U68:X68)</f>
        <v>0</v>
      </c>
      <c r="Y69" s="896">
        <f>SUM($U68:Y68)</f>
        <v>0</v>
      </c>
      <c r="Z69" s="896">
        <f>SUM($U68:Z68)</f>
        <v>0</v>
      </c>
      <c r="AA69" s="896">
        <f>SUM($U68:AA68)</f>
        <v>0</v>
      </c>
      <c r="AB69" s="896">
        <f>SUM($U68:AB68)</f>
        <v>0</v>
      </c>
      <c r="AC69" s="896">
        <f>SUM($U68:AC68)</f>
        <v>0</v>
      </c>
      <c r="AD69" s="896">
        <f>SUM($U68:AD68)</f>
        <v>0</v>
      </c>
      <c r="AE69" s="896">
        <f>SUM($U68:AE68)</f>
        <v>0</v>
      </c>
      <c r="AF69" s="896">
        <f>SUM($U68:AF68)</f>
        <v>0</v>
      </c>
      <c r="AG69" s="896">
        <f>SUM($U68:AG68)</f>
        <v>0</v>
      </c>
      <c r="AH69" s="896">
        <f>SUM($U68:AH68)</f>
        <v>0</v>
      </c>
      <c r="AI69" s="896">
        <f>SUM($U68:AI68)</f>
        <v>0</v>
      </c>
      <c r="AJ69" s="896">
        <f>SUM($U68:AJ68)</f>
        <v>0</v>
      </c>
      <c r="AK69" s="896">
        <f>SUM($U68:AK68)</f>
        <v>0</v>
      </c>
      <c r="AL69" s="896">
        <f>SUM($U68:AL68)</f>
        <v>0</v>
      </c>
      <c r="AM69" s="896">
        <f>SUM($U68:AM68)</f>
        <v>0</v>
      </c>
      <c r="AN69" s="896">
        <f>SUM($U68:AN68)</f>
        <v>0</v>
      </c>
      <c r="AO69" s="896">
        <f>SUM($U68:AO68)</f>
        <v>0</v>
      </c>
      <c r="AP69" s="896">
        <f>SUM($U68:AP68)</f>
        <v>0</v>
      </c>
      <c r="AQ69" s="896">
        <f>SUM($U68:AQ68)</f>
        <v>0</v>
      </c>
      <c r="AR69" s="896">
        <f>SUM($U68:AR68)</f>
        <v>0</v>
      </c>
      <c r="AS69" s="896">
        <f>SUM($U68:AS68)</f>
        <v>0</v>
      </c>
      <c r="AT69" s="896">
        <f>SUM($U68:AT68)</f>
        <v>0</v>
      </c>
      <c r="AU69" s="896">
        <f>SUM($U68:AU68)</f>
        <v>0</v>
      </c>
      <c r="AV69" s="896">
        <f>SUM($U68:AV68)</f>
        <v>0</v>
      </c>
      <c r="AW69" s="896">
        <f>SUM($U68:AW68)</f>
        <v>0</v>
      </c>
      <c r="AX69" s="896">
        <f>SUM($U68:AX68)</f>
        <v>0</v>
      </c>
      <c r="AY69" s="896">
        <f>SUM($U68:AY68)</f>
        <v>0</v>
      </c>
    </row>
    <row r="70" spans="1:51" s="782" customFormat="1" ht="14.85" customHeight="1" outlineLevel="1" x14ac:dyDescent="0.2">
      <c r="A70" s="786"/>
      <c r="B70" s="783"/>
      <c r="C70" s="899"/>
      <c r="D70" s="900"/>
      <c r="E70" s="901"/>
      <c r="F70" s="901" t="s">
        <v>293</v>
      </c>
      <c r="G70" s="901"/>
      <c r="H70" s="901" t="s">
        <v>292</v>
      </c>
      <c r="I70" s="901"/>
      <c r="J70" s="901"/>
      <c r="K70" s="901"/>
      <c r="L70" s="901"/>
      <c r="M70" s="901"/>
      <c r="N70" s="901"/>
      <c r="O70" s="901"/>
      <c r="P70" s="901"/>
      <c r="Q70" s="901"/>
      <c r="R70" s="901"/>
      <c r="S70" s="902"/>
      <c r="T70" s="901"/>
      <c r="U70" s="896"/>
      <c r="V70" s="903">
        <f t="shared" ref="V70:AY70" si="15">SUMPRODUCT(U44:U53,$Q$44:$Q$53)</f>
        <v>0</v>
      </c>
      <c r="W70" s="903">
        <f t="shared" si="15"/>
        <v>0</v>
      </c>
      <c r="X70" s="903">
        <f t="shared" si="15"/>
        <v>0</v>
      </c>
      <c r="Y70" s="903">
        <f t="shared" si="15"/>
        <v>0</v>
      </c>
      <c r="Z70" s="903">
        <f t="shared" si="15"/>
        <v>0</v>
      </c>
      <c r="AA70" s="903">
        <f t="shared" si="15"/>
        <v>0</v>
      </c>
      <c r="AB70" s="903">
        <f t="shared" si="15"/>
        <v>0</v>
      </c>
      <c r="AC70" s="903">
        <f t="shared" si="15"/>
        <v>0</v>
      </c>
      <c r="AD70" s="903">
        <f t="shared" si="15"/>
        <v>0</v>
      </c>
      <c r="AE70" s="903">
        <f t="shared" si="15"/>
        <v>0</v>
      </c>
      <c r="AF70" s="903">
        <f t="shared" si="15"/>
        <v>0</v>
      </c>
      <c r="AG70" s="903">
        <f t="shared" si="15"/>
        <v>0</v>
      </c>
      <c r="AH70" s="903">
        <f t="shared" si="15"/>
        <v>0</v>
      </c>
      <c r="AI70" s="903">
        <f t="shared" si="15"/>
        <v>0</v>
      </c>
      <c r="AJ70" s="903">
        <f t="shared" si="15"/>
        <v>0</v>
      </c>
      <c r="AK70" s="903">
        <f t="shared" si="15"/>
        <v>0</v>
      </c>
      <c r="AL70" s="903">
        <f t="shared" si="15"/>
        <v>0</v>
      </c>
      <c r="AM70" s="903">
        <f t="shared" si="15"/>
        <v>0</v>
      </c>
      <c r="AN70" s="903">
        <f t="shared" si="15"/>
        <v>0</v>
      </c>
      <c r="AO70" s="903">
        <f t="shared" si="15"/>
        <v>0</v>
      </c>
      <c r="AP70" s="903">
        <f t="shared" si="15"/>
        <v>0</v>
      </c>
      <c r="AQ70" s="903">
        <f t="shared" si="15"/>
        <v>0</v>
      </c>
      <c r="AR70" s="903">
        <f t="shared" si="15"/>
        <v>0</v>
      </c>
      <c r="AS70" s="903">
        <f t="shared" si="15"/>
        <v>0</v>
      </c>
      <c r="AT70" s="903">
        <f t="shared" si="15"/>
        <v>0</v>
      </c>
      <c r="AU70" s="903">
        <f t="shared" si="15"/>
        <v>0</v>
      </c>
      <c r="AV70" s="903">
        <f t="shared" si="15"/>
        <v>0</v>
      </c>
      <c r="AW70" s="903">
        <f t="shared" si="15"/>
        <v>0</v>
      </c>
      <c r="AX70" s="903">
        <f t="shared" si="15"/>
        <v>0</v>
      </c>
      <c r="AY70" s="903">
        <f t="shared" si="15"/>
        <v>0</v>
      </c>
    </row>
    <row r="71" spans="1:51" s="782" customFormat="1" ht="11.25" x14ac:dyDescent="0.2">
      <c r="A71" s="787"/>
      <c r="E71" s="783"/>
      <c r="I71" s="861"/>
      <c r="J71" s="861"/>
      <c r="K71" s="861"/>
      <c r="L71" s="793"/>
      <c r="M71" s="793"/>
      <c r="O71" s="783"/>
      <c r="R71" s="783"/>
      <c r="S71" s="784"/>
    </row>
    <row r="72" spans="1:51" s="782" customFormat="1" ht="11.25" x14ac:dyDescent="0.2">
      <c r="A72" s="787"/>
      <c r="E72" s="783"/>
      <c r="I72" s="861"/>
      <c r="J72" s="861"/>
      <c r="K72" s="861"/>
      <c r="L72" s="793"/>
      <c r="M72" s="793"/>
      <c r="O72" s="783"/>
      <c r="R72" s="783"/>
      <c r="S72" s="784"/>
    </row>
    <row r="73" spans="1:51" s="782" customFormat="1" ht="11.25" hidden="1" x14ac:dyDescent="0.2">
      <c r="A73" s="787"/>
      <c r="E73" s="783"/>
      <c r="I73" s="861"/>
      <c r="J73" s="861"/>
      <c r="K73" s="861"/>
      <c r="L73" s="793"/>
      <c r="M73" s="793"/>
      <c r="O73" s="783"/>
      <c r="R73" s="783"/>
      <c r="S73" s="784"/>
    </row>
    <row r="74" spans="1:51" s="878" customFormat="1" ht="14.85" hidden="1" customHeight="1" x14ac:dyDescent="0.2">
      <c r="A74" s="909" t="s">
        <v>291</v>
      </c>
      <c r="B74" s="909"/>
      <c r="C74" s="909"/>
      <c r="D74" s="909"/>
      <c r="E74" s="909"/>
      <c r="F74" s="909"/>
      <c r="G74" s="909"/>
      <c r="H74" s="909"/>
      <c r="I74" s="910"/>
      <c r="J74" s="910"/>
      <c r="K74" s="910"/>
      <c r="L74" s="909"/>
      <c r="M74" s="909"/>
      <c r="N74" s="909"/>
      <c r="O74" s="909"/>
      <c r="P74" s="909"/>
      <c r="Q74" s="909"/>
      <c r="R74" s="909"/>
      <c r="S74" s="911"/>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row>
    <row r="75" spans="1:51" s="782" customFormat="1" ht="14.85" hidden="1" customHeight="1" x14ac:dyDescent="0.2">
      <c r="A75" s="787"/>
      <c r="E75" s="783"/>
      <c r="O75" s="783"/>
      <c r="R75" s="783"/>
      <c r="S75" s="784"/>
    </row>
    <row r="76" spans="1:51" s="782" customFormat="1" ht="14.85" hidden="1" customHeight="1" x14ac:dyDescent="0.2">
      <c r="A76" s="785"/>
      <c r="B76" s="788" t="s">
        <v>290</v>
      </c>
      <c r="C76" s="789"/>
      <c r="D76" s="789"/>
      <c r="E76" s="783"/>
      <c r="F76" s="789"/>
      <c r="G76" s="788" t="s">
        <v>207</v>
      </c>
      <c r="H76" s="788" t="s">
        <v>206</v>
      </c>
      <c r="I76" s="912" t="s">
        <v>289</v>
      </c>
      <c r="J76" s="912" t="s">
        <v>288</v>
      </c>
      <c r="K76" s="912"/>
      <c r="L76" s="912" t="s">
        <v>287</v>
      </c>
      <c r="M76" s="790" t="s">
        <v>212</v>
      </c>
      <c r="N76" s="790" t="s">
        <v>286</v>
      </c>
      <c r="O76" s="783"/>
      <c r="P76" s="789"/>
      <c r="Q76" s="789"/>
      <c r="R76" s="783"/>
      <c r="S76" s="784"/>
      <c r="U76" s="791">
        <f>'ORT uitgangspunten'!$P$79</f>
        <v>1900</v>
      </c>
      <c r="V76" s="791">
        <f t="shared" ref="V76:AY76" si="16" xml:space="preserve"> U76 + 1</f>
        <v>1901</v>
      </c>
      <c r="W76" s="791">
        <f t="shared" si="16"/>
        <v>1902</v>
      </c>
      <c r="X76" s="791">
        <f t="shared" si="16"/>
        <v>1903</v>
      </c>
      <c r="Y76" s="791">
        <f t="shared" si="16"/>
        <v>1904</v>
      </c>
      <c r="Z76" s="791">
        <f t="shared" si="16"/>
        <v>1905</v>
      </c>
      <c r="AA76" s="791">
        <f t="shared" si="16"/>
        <v>1906</v>
      </c>
      <c r="AB76" s="791">
        <f t="shared" si="16"/>
        <v>1907</v>
      </c>
      <c r="AC76" s="791">
        <f t="shared" si="16"/>
        <v>1908</v>
      </c>
      <c r="AD76" s="791">
        <f t="shared" si="16"/>
        <v>1909</v>
      </c>
      <c r="AE76" s="791">
        <f t="shared" si="16"/>
        <v>1910</v>
      </c>
      <c r="AF76" s="791">
        <f t="shared" si="16"/>
        <v>1911</v>
      </c>
      <c r="AG76" s="791">
        <f t="shared" si="16"/>
        <v>1912</v>
      </c>
      <c r="AH76" s="791">
        <f t="shared" si="16"/>
        <v>1913</v>
      </c>
      <c r="AI76" s="791">
        <f t="shared" si="16"/>
        <v>1914</v>
      </c>
      <c r="AJ76" s="791">
        <f t="shared" si="16"/>
        <v>1915</v>
      </c>
      <c r="AK76" s="791">
        <f t="shared" si="16"/>
        <v>1916</v>
      </c>
      <c r="AL76" s="791">
        <f t="shared" si="16"/>
        <v>1917</v>
      </c>
      <c r="AM76" s="791">
        <f t="shared" si="16"/>
        <v>1918</v>
      </c>
      <c r="AN76" s="791">
        <f t="shared" si="16"/>
        <v>1919</v>
      </c>
      <c r="AO76" s="791">
        <f t="shared" si="16"/>
        <v>1920</v>
      </c>
      <c r="AP76" s="791">
        <f t="shared" si="16"/>
        <v>1921</v>
      </c>
      <c r="AQ76" s="791">
        <f t="shared" si="16"/>
        <v>1922</v>
      </c>
      <c r="AR76" s="791">
        <f t="shared" si="16"/>
        <v>1923</v>
      </c>
      <c r="AS76" s="791">
        <f t="shared" si="16"/>
        <v>1924</v>
      </c>
      <c r="AT76" s="791">
        <f t="shared" si="16"/>
        <v>1925</v>
      </c>
      <c r="AU76" s="791">
        <f t="shared" si="16"/>
        <v>1926</v>
      </c>
      <c r="AV76" s="791">
        <f t="shared" si="16"/>
        <v>1927</v>
      </c>
      <c r="AW76" s="791">
        <f t="shared" si="16"/>
        <v>1928</v>
      </c>
      <c r="AX76" s="791">
        <f t="shared" si="16"/>
        <v>1929</v>
      </c>
      <c r="AY76" s="791">
        <f t="shared" si="16"/>
        <v>1930</v>
      </c>
    </row>
    <row r="77" spans="1:51" s="787" customFormat="1" ht="14.85" hidden="1" customHeight="1" x14ac:dyDescent="0.2">
      <c r="A77" s="785"/>
      <c r="B77" s="786"/>
      <c r="C77" s="797" t="s">
        <v>285</v>
      </c>
      <c r="D77" s="786"/>
      <c r="E77" s="783"/>
      <c r="F77" s="786"/>
      <c r="G77" s="786"/>
      <c r="H77" s="913"/>
      <c r="I77" s="913"/>
      <c r="J77" s="913"/>
      <c r="K77" s="798"/>
      <c r="L77" s="798"/>
      <c r="M77" s="786"/>
      <c r="O77" s="783"/>
      <c r="P77" s="786"/>
      <c r="Q77" s="786"/>
      <c r="R77" s="783"/>
      <c r="S77" s="784"/>
      <c r="U77" s="782"/>
      <c r="V77" s="782"/>
    </row>
    <row r="78" spans="1:51" s="787" customFormat="1" ht="14.85" hidden="1" customHeight="1" x14ac:dyDescent="0.2">
      <c r="A78" s="785"/>
      <c r="B78" s="786"/>
      <c r="C78" s="797" t="s">
        <v>284</v>
      </c>
      <c r="D78" s="786"/>
      <c r="E78" s="783"/>
      <c r="F78" s="786"/>
      <c r="G78" s="786"/>
      <c r="H78" s="913"/>
      <c r="I78" s="913"/>
      <c r="J78" s="913"/>
      <c r="K78" s="798"/>
      <c r="L78" s="798"/>
      <c r="M78" s="786"/>
      <c r="O78" s="783"/>
      <c r="P78" s="786"/>
      <c r="Q78" s="786"/>
      <c r="R78" s="783"/>
      <c r="S78" s="784"/>
      <c r="U78" s="782"/>
      <c r="V78" s="782"/>
    </row>
    <row r="79" spans="1:51" s="782" customFormat="1" ht="14.85" hidden="1" customHeight="1" x14ac:dyDescent="0.2">
      <c r="A79" s="787"/>
      <c r="E79" s="783"/>
      <c r="F79" s="782" t="s">
        <v>283</v>
      </c>
      <c r="G79" s="896">
        <v>30</v>
      </c>
      <c r="H79" s="783" t="s">
        <v>274</v>
      </c>
      <c r="I79" s="861"/>
      <c r="J79" s="861"/>
      <c r="K79" s="793"/>
      <c r="L79" s="793"/>
      <c r="M79" s="793"/>
      <c r="N79" s="896" t="b">
        <f xml:space="preserve"> IF( G79=0,TRUE,IF(SUM(U79:INDEX(U79:AY79,1,$G$23)) = ($G$23/G79), TRUE, FALSE))</f>
        <v>0</v>
      </c>
      <c r="O79" s="783"/>
      <c r="P79" s="786"/>
      <c r="R79" s="783"/>
      <c r="S79" s="784"/>
      <c r="U79" s="864">
        <f>'ORT uitgangspunten'!P46</f>
        <v>0</v>
      </c>
      <c r="V79" s="864">
        <f>'ORT uitgangspunten'!Q46</f>
        <v>0</v>
      </c>
      <c r="W79" s="864">
        <f>'ORT uitgangspunten'!R46</f>
        <v>0</v>
      </c>
      <c r="X79" s="864">
        <f>'ORT uitgangspunten'!S46</f>
        <v>0</v>
      </c>
      <c r="Y79" s="864">
        <f>'ORT uitgangspunten'!T46</f>
        <v>0</v>
      </c>
      <c r="Z79" s="864">
        <f>'ORT uitgangspunten'!U46</f>
        <v>0</v>
      </c>
      <c r="AA79" s="864">
        <f>'ORT uitgangspunten'!V46</f>
        <v>0</v>
      </c>
      <c r="AB79" s="864">
        <f>'ORT uitgangspunten'!W46</f>
        <v>0</v>
      </c>
      <c r="AC79" s="864">
        <f>'ORT uitgangspunten'!X46</f>
        <v>0</v>
      </c>
      <c r="AD79" s="864">
        <f>'ORT uitgangspunten'!Y46</f>
        <v>0</v>
      </c>
      <c r="AE79" s="864">
        <f>'ORT uitgangspunten'!Z46</f>
        <v>0</v>
      </c>
      <c r="AF79" s="864">
        <f>'ORT uitgangspunten'!AA46</f>
        <v>0</v>
      </c>
      <c r="AG79" s="864">
        <f>'ORT uitgangspunten'!AB46</f>
        <v>0</v>
      </c>
      <c r="AH79" s="864">
        <f>'ORT uitgangspunten'!AC46</f>
        <v>0</v>
      </c>
      <c r="AI79" s="864">
        <f>'ORT uitgangspunten'!AD46</f>
        <v>0</v>
      </c>
      <c r="AJ79" s="864">
        <f>'ORT uitgangspunten'!AE46</f>
        <v>0</v>
      </c>
      <c r="AK79" s="864">
        <f>'ORT uitgangspunten'!AF46</f>
        <v>0</v>
      </c>
      <c r="AL79" s="864">
        <f>'ORT uitgangspunten'!AG46</f>
        <v>0</v>
      </c>
      <c r="AM79" s="864">
        <f>'ORT uitgangspunten'!AH46</f>
        <v>0</v>
      </c>
      <c r="AN79" s="864">
        <f>'ORT uitgangspunten'!AI46</f>
        <v>0</v>
      </c>
      <c r="AO79" s="864">
        <f>'ORT uitgangspunten'!AJ46</f>
        <v>0</v>
      </c>
      <c r="AP79" s="864">
        <f>'ORT uitgangspunten'!AK46</f>
        <v>0</v>
      </c>
      <c r="AQ79" s="864">
        <f>'ORT uitgangspunten'!AL46</f>
        <v>0</v>
      </c>
      <c r="AR79" s="864">
        <f>'ORT uitgangspunten'!AM46</f>
        <v>0</v>
      </c>
      <c r="AS79" s="864">
        <f>'ORT uitgangspunten'!AN46</f>
        <v>0</v>
      </c>
      <c r="AT79" s="864">
        <f>'ORT uitgangspunten'!AO46</f>
        <v>0</v>
      </c>
      <c r="AU79" s="864">
        <f>'ORT uitgangspunten'!AP46</f>
        <v>0</v>
      </c>
      <c r="AV79" s="864">
        <f>'ORT uitgangspunten'!AQ46</f>
        <v>0</v>
      </c>
      <c r="AW79" s="864">
        <f>'ORT uitgangspunten'!AR46</f>
        <v>0</v>
      </c>
      <c r="AX79" s="864">
        <f>'ORT uitgangspunten'!AS46</f>
        <v>0</v>
      </c>
      <c r="AY79" s="864">
        <f>'ORT uitgangspunten'!AT46</f>
        <v>0</v>
      </c>
    </row>
    <row r="80" spans="1:51" s="782" customFormat="1" ht="14.85" hidden="1" customHeight="1" x14ac:dyDescent="0.2">
      <c r="A80" s="787"/>
      <c r="E80" s="783"/>
      <c r="F80" s="782" t="s">
        <v>282</v>
      </c>
      <c r="G80" s="896">
        <v>30</v>
      </c>
      <c r="H80" s="783" t="s">
        <v>274</v>
      </c>
      <c r="I80" s="861"/>
      <c r="J80" s="861"/>
      <c r="K80" s="793"/>
      <c r="L80" s="793"/>
      <c r="M80" s="793"/>
      <c r="N80" s="896" t="b">
        <f xml:space="preserve"> IF( G80=0,TRUE,IF(SUM(U80:INDEX(U80:AY80,1,$G$23)) = ($G$23/G80), TRUE, FALSE))</f>
        <v>0</v>
      </c>
      <c r="O80" s="783"/>
      <c r="P80" s="786"/>
      <c r="R80" s="783"/>
      <c r="S80" s="784"/>
      <c r="U80" s="864">
        <f>'ORT uitgangspunten'!P49</f>
        <v>0</v>
      </c>
      <c r="V80" s="864">
        <f>'ORT uitgangspunten'!Q49</f>
        <v>0</v>
      </c>
      <c r="W80" s="864">
        <f>'ORT uitgangspunten'!R49</f>
        <v>0</v>
      </c>
      <c r="X80" s="864">
        <f>'ORT uitgangspunten'!S49</f>
        <v>0</v>
      </c>
      <c r="Y80" s="864">
        <f>'ORT uitgangspunten'!T49</f>
        <v>0</v>
      </c>
      <c r="Z80" s="864">
        <f>'ORT uitgangspunten'!U49</f>
        <v>0</v>
      </c>
      <c r="AA80" s="864">
        <f>'ORT uitgangspunten'!V49</f>
        <v>0</v>
      </c>
      <c r="AB80" s="864">
        <f>'ORT uitgangspunten'!W49</f>
        <v>0</v>
      </c>
      <c r="AC80" s="864">
        <f>'ORT uitgangspunten'!X49</f>
        <v>0</v>
      </c>
      <c r="AD80" s="864">
        <f>'ORT uitgangspunten'!Y49</f>
        <v>0</v>
      </c>
      <c r="AE80" s="864">
        <f>'ORT uitgangspunten'!Z49</f>
        <v>0</v>
      </c>
      <c r="AF80" s="864">
        <f>'ORT uitgangspunten'!AA49</f>
        <v>0</v>
      </c>
      <c r="AG80" s="864">
        <f>'ORT uitgangspunten'!AB49</f>
        <v>0</v>
      </c>
      <c r="AH80" s="864">
        <f>'ORT uitgangspunten'!AC49</f>
        <v>0</v>
      </c>
      <c r="AI80" s="864">
        <f>'ORT uitgangspunten'!AD49</f>
        <v>0</v>
      </c>
      <c r="AJ80" s="864">
        <f>'ORT uitgangspunten'!AE49</f>
        <v>0</v>
      </c>
      <c r="AK80" s="864">
        <f>'ORT uitgangspunten'!AF49</f>
        <v>0</v>
      </c>
      <c r="AL80" s="864">
        <f>'ORT uitgangspunten'!AG49</f>
        <v>0</v>
      </c>
      <c r="AM80" s="864">
        <f>'ORT uitgangspunten'!AH49</f>
        <v>0</v>
      </c>
      <c r="AN80" s="864">
        <f>'ORT uitgangspunten'!AI49</f>
        <v>0</v>
      </c>
      <c r="AO80" s="864">
        <f>'ORT uitgangspunten'!AJ49</f>
        <v>0</v>
      </c>
      <c r="AP80" s="864">
        <f>'ORT uitgangspunten'!AK49</f>
        <v>0</v>
      </c>
      <c r="AQ80" s="864">
        <f>'ORT uitgangspunten'!AL49</f>
        <v>0</v>
      </c>
      <c r="AR80" s="864">
        <f>'ORT uitgangspunten'!AM49</f>
        <v>0</v>
      </c>
      <c r="AS80" s="864">
        <f>'ORT uitgangspunten'!AN49</f>
        <v>0</v>
      </c>
      <c r="AT80" s="864">
        <f>'ORT uitgangspunten'!AO49</f>
        <v>0</v>
      </c>
      <c r="AU80" s="864">
        <f>'ORT uitgangspunten'!AP49</f>
        <v>0</v>
      </c>
      <c r="AV80" s="864">
        <f>'ORT uitgangspunten'!AQ49</f>
        <v>0</v>
      </c>
      <c r="AW80" s="864">
        <f>'ORT uitgangspunten'!AR49</f>
        <v>0</v>
      </c>
      <c r="AX80" s="864">
        <f>'ORT uitgangspunten'!AS49</f>
        <v>0</v>
      </c>
      <c r="AY80" s="864">
        <f>'ORT uitgangspunten'!AT49</f>
        <v>0</v>
      </c>
    </row>
    <row r="81" spans="1:51" s="787" customFormat="1" ht="14.85" hidden="1" customHeight="1" x14ac:dyDescent="0.2">
      <c r="A81" s="785"/>
      <c r="B81" s="786"/>
      <c r="C81" s="797" t="s">
        <v>281</v>
      </c>
      <c r="D81" s="786"/>
      <c r="E81" s="783"/>
      <c r="F81" s="786"/>
      <c r="G81" s="786"/>
      <c r="H81" s="913"/>
      <c r="I81" s="913"/>
      <c r="J81" s="913"/>
      <c r="K81" s="798"/>
      <c r="L81" s="798"/>
      <c r="M81" s="786"/>
      <c r="O81" s="783"/>
      <c r="P81" s="786"/>
      <c r="Q81" s="786"/>
      <c r="R81" s="783"/>
      <c r="S81" s="784"/>
      <c r="U81" s="782"/>
      <c r="V81" s="782"/>
    </row>
    <row r="82" spans="1:51" s="782" customFormat="1" ht="14.85" hidden="1" customHeight="1" x14ac:dyDescent="0.2">
      <c r="A82" s="787"/>
      <c r="E82" s="783"/>
      <c r="F82" s="782" t="s">
        <v>280</v>
      </c>
      <c r="G82" s="896">
        <v>30</v>
      </c>
      <c r="H82" s="783" t="s">
        <v>274</v>
      </c>
      <c r="I82" s="861"/>
      <c r="J82" s="861"/>
      <c r="K82" s="793"/>
      <c r="L82" s="793"/>
      <c r="M82" s="793"/>
      <c r="N82" s="896" t="b">
        <f xml:space="preserve"> IF( G82=0,TRUE,IF(SUM(U82:INDEX(U82:AY82,1,$G$23)) = ($G$23/G82), TRUE, FALSE))</f>
        <v>0</v>
      </c>
      <c r="O82" s="783"/>
      <c r="P82" s="786"/>
      <c r="R82" s="783"/>
      <c r="S82" s="784"/>
      <c r="U82" s="864">
        <f>'ORT uitgangspunten'!P53</f>
        <v>0</v>
      </c>
      <c r="V82" s="864">
        <f>'ORT uitgangspunten'!Q53</f>
        <v>0</v>
      </c>
      <c r="W82" s="864">
        <f>'ORT uitgangspunten'!R53</f>
        <v>0</v>
      </c>
      <c r="X82" s="864">
        <f>'ORT uitgangspunten'!S53</f>
        <v>0</v>
      </c>
      <c r="Y82" s="864">
        <f>'ORT uitgangspunten'!T53</f>
        <v>0</v>
      </c>
      <c r="Z82" s="864">
        <f>'ORT uitgangspunten'!U53</f>
        <v>0</v>
      </c>
      <c r="AA82" s="864">
        <f>'ORT uitgangspunten'!V53</f>
        <v>0</v>
      </c>
      <c r="AB82" s="864">
        <f>'ORT uitgangspunten'!W53</f>
        <v>0</v>
      </c>
      <c r="AC82" s="864">
        <f>'ORT uitgangspunten'!X53</f>
        <v>0</v>
      </c>
      <c r="AD82" s="864">
        <f>'ORT uitgangspunten'!Y53</f>
        <v>0</v>
      </c>
      <c r="AE82" s="864">
        <f>'ORT uitgangspunten'!Z53</f>
        <v>0</v>
      </c>
      <c r="AF82" s="864">
        <f>'ORT uitgangspunten'!AA53</f>
        <v>0</v>
      </c>
      <c r="AG82" s="864">
        <f>'ORT uitgangspunten'!AB53</f>
        <v>0</v>
      </c>
      <c r="AH82" s="864">
        <f>'ORT uitgangspunten'!AC53</f>
        <v>0</v>
      </c>
      <c r="AI82" s="864">
        <f>'ORT uitgangspunten'!AD53</f>
        <v>0</v>
      </c>
      <c r="AJ82" s="864">
        <f>'ORT uitgangspunten'!AE53</f>
        <v>0</v>
      </c>
      <c r="AK82" s="864">
        <f>'ORT uitgangspunten'!AF53</f>
        <v>0</v>
      </c>
      <c r="AL82" s="864">
        <f>'ORT uitgangspunten'!AG53</f>
        <v>0</v>
      </c>
      <c r="AM82" s="864">
        <f>'ORT uitgangspunten'!AH53</f>
        <v>0</v>
      </c>
      <c r="AN82" s="864">
        <f>'ORT uitgangspunten'!AI53</f>
        <v>0</v>
      </c>
      <c r="AO82" s="864">
        <f>'ORT uitgangspunten'!AJ53</f>
        <v>0</v>
      </c>
      <c r="AP82" s="864">
        <f>'ORT uitgangspunten'!AK53</f>
        <v>0</v>
      </c>
      <c r="AQ82" s="864">
        <f>'ORT uitgangspunten'!AL53</f>
        <v>0</v>
      </c>
      <c r="AR82" s="864">
        <f>'ORT uitgangspunten'!AM53</f>
        <v>0</v>
      </c>
      <c r="AS82" s="864">
        <f>'ORT uitgangspunten'!AN53</f>
        <v>0</v>
      </c>
      <c r="AT82" s="864">
        <f>'ORT uitgangspunten'!AO53</f>
        <v>0</v>
      </c>
      <c r="AU82" s="864">
        <f>'ORT uitgangspunten'!AP53</f>
        <v>0</v>
      </c>
      <c r="AV82" s="864">
        <f>'ORT uitgangspunten'!AQ53</f>
        <v>0</v>
      </c>
      <c r="AW82" s="864">
        <f>'ORT uitgangspunten'!AR53</f>
        <v>0</v>
      </c>
      <c r="AX82" s="864">
        <f>'ORT uitgangspunten'!AS53</f>
        <v>0</v>
      </c>
      <c r="AY82" s="864">
        <f>'ORT uitgangspunten'!AT53</f>
        <v>0</v>
      </c>
    </row>
    <row r="83" spans="1:51" s="782" customFormat="1" ht="14.85" hidden="1" customHeight="1" x14ac:dyDescent="0.2">
      <c r="A83" s="787"/>
      <c r="C83" s="914" t="s">
        <v>279</v>
      </c>
      <c r="D83" s="914"/>
      <c r="E83" s="914"/>
      <c r="F83" s="914"/>
      <c r="O83" s="783"/>
      <c r="P83" s="786"/>
      <c r="R83" s="783"/>
      <c r="S83" s="784"/>
    </row>
    <row r="84" spans="1:51" s="782" customFormat="1" ht="14.85" hidden="1" customHeight="1" x14ac:dyDescent="0.2">
      <c r="A84" s="787"/>
      <c r="E84" s="783"/>
      <c r="F84" s="782" t="s">
        <v>278</v>
      </c>
      <c r="G84" s="896">
        <v>30</v>
      </c>
      <c r="H84" s="783" t="s">
        <v>274</v>
      </c>
      <c r="I84" s="861"/>
      <c r="J84" s="861"/>
      <c r="K84" s="793"/>
      <c r="L84" s="793"/>
      <c r="N84" s="896" t="b">
        <f xml:space="preserve"> IF( G84=0,TRUE,IF(SUM(U84:INDEX(U84:AY84,1,$G$23)) = 1, TRUE, FALSE))</f>
        <v>0</v>
      </c>
      <c r="O84" s="783"/>
      <c r="P84" s="786"/>
      <c r="R84" s="783"/>
      <c r="S84" s="784"/>
      <c r="U84" s="864">
        <f t="shared" ref="U84:AY84" si="17">IFERROR((U$64)/(SUM($U$64:$AY$64)),)</f>
        <v>0</v>
      </c>
      <c r="V84" s="864">
        <f t="shared" si="17"/>
        <v>0</v>
      </c>
      <c r="W84" s="864">
        <f t="shared" si="17"/>
        <v>0</v>
      </c>
      <c r="X84" s="864">
        <f t="shared" si="17"/>
        <v>0</v>
      </c>
      <c r="Y84" s="864">
        <f t="shared" si="17"/>
        <v>0</v>
      </c>
      <c r="Z84" s="864">
        <f t="shared" si="17"/>
        <v>0</v>
      </c>
      <c r="AA84" s="864">
        <f t="shared" si="17"/>
        <v>0</v>
      </c>
      <c r="AB84" s="864">
        <f t="shared" si="17"/>
        <v>0</v>
      </c>
      <c r="AC84" s="864">
        <f t="shared" si="17"/>
        <v>0</v>
      </c>
      <c r="AD84" s="864">
        <f t="shared" si="17"/>
        <v>0</v>
      </c>
      <c r="AE84" s="864">
        <f t="shared" si="17"/>
        <v>0</v>
      </c>
      <c r="AF84" s="864">
        <f t="shared" si="17"/>
        <v>0</v>
      </c>
      <c r="AG84" s="864">
        <f t="shared" si="17"/>
        <v>0</v>
      </c>
      <c r="AH84" s="864">
        <f t="shared" si="17"/>
        <v>0</v>
      </c>
      <c r="AI84" s="864">
        <f t="shared" si="17"/>
        <v>0</v>
      </c>
      <c r="AJ84" s="864">
        <f t="shared" si="17"/>
        <v>0</v>
      </c>
      <c r="AK84" s="864">
        <f t="shared" si="17"/>
        <v>0</v>
      </c>
      <c r="AL84" s="864">
        <f t="shared" si="17"/>
        <v>0</v>
      </c>
      <c r="AM84" s="864">
        <f t="shared" si="17"/>
        <v>0</v>
      </c>
      <c r="AN84" s="864">
        <f t="shared" si="17"/>
        <v>0</v>
      </c>
      <c r="AO84" s="864">
        <f t="shared" si="17"/>
        <v>0</v>
      </c>
      <c r="AP84" s="864">
        <f t="shared" si="17"/>
        <v>0</v>
      </c>
      <c r="AQ84" s="864">
        <f t="shared" si="17"/>
        <v>0</v>
      </c>
      <c r="AR84" s="864">
        <f t="shared" si="17"/>
        <v>0</v>
      </c>
      <c r="AS84" s="864">
        <f t="shared" si="17"/>
        <v>0</v>
      </c>
      <c r="AT84" s="864">
        <f t="shared" si="17"/>
        <v>0</v>
      </c>
      <c r="AU84" s="864">
        <f t="shared" si="17"/>
        <v>0</v>
      </c>
      <c r="AV84" s="864">
        <f t="shared" si="17"/>
        <v>0</v>
      </c>
      <c r="AW84" s="864">
        <f t="shared" si="17"/>
        <v>0</v>
      </c>
      <c r="AX84" s="864">
        <f t="shared" si="17"/>
        <v>0</v>
      </c>
      <c r="AY84" s="864">
        <f t="shared" si="17"/>
        <v>0</v>
      </c>
    </row>
    <row r="85" spans="1:51" s="782" customFormat="1" ht="14.85" hidden="1" customHeight="1" x14ac:dyDescent="0.2">
      <c r="A85" s="787"/>
      <c r="E85" s="783"/>
      <c r="F85" s="782" t="s">
        <v>277</v>
      </c>
      <c r="G85" s="896">
        <v>30</v>
      </c>
      <c r="H85" s="783" t="s">
        <v>274</v>
      </c>
      <c r="I85" s="861"/>
      <c r="J85" s="861"/>
      <c r="K85" s="793"/>
      <c r="L85" s="793"/>
      <c r="N85" s="896" t="b">
        <f xml:space="preserve"> IF( G85=0,TRUE,IF(SUM(U85:INDEX(U85:AY85,1,$G$23)) = 1, TRUE, FALSE))</f>
        <v>0</v>
      </c>
      <c r="O85" s="783"/>
      <c r="P85" s="786"/>
      <c r="R85" s="783"/>
      <c r="S85" s="784"/>
      <c r="U85" s="864">
        <f t="shared" ref="U85:AY85" si="18">IFERROR((U$68)/(SUM($U$68:$AY$68)),)</f>
        <v>0</v>
      </c>
      <c r="V85" s="864">
        <f t="shared" si="18"/>
        <v>0</v>
      </c>
      <c r="W85" s="864">
        <f t="shared" si="18"/>
        <v>0</v>
      </c>
      <c r="X85" s="864">
        <f t="shared" si="18"/>
        <v>0</v>
      </c>
      <c r="Y85" s="864">
        <f t="shared" si="18"/>
        <v>0</v>
      </c>
      <c r="Z85" s="864">
        <f t="shared" si="18"/>
        <v>0</v>
      </c>
      <c r="AA85" s="864">
        <f t="shared" si="18"/>
        <v>0</v>
      </c>
      <c r="AB85" s="864">
        <f t="shared" si="18"/>
        <v>0</v>
      </c>
      <c r="AC85" s="864">
        <f t="shared" si="18"/>
        <v>0</v>
      </c>
      <c r="AD85" s="864">
        <f t="shared" si="18"/>
        <v>0</v>
      </c>
      <c r="AE85" s="864">
        <f t="shared" si="18"/>
        <v>0</v>
      </c>
      <c r="AF85" s="864">
        <f t="shared" si="18"/>
        <v>0</v>
      </c>
      <c r="AG85" s="864">
        <f t="shared" si="18"/>
        <v>0</v>
      </c>
      <c r="AH85" s="864">
        <f t="shared" si="18"/>
        <v>0</v>
      </c>
      <c r="AI85" s="864">
        <f t="shared" si="18"/>
        <v>0</v>
      </c>
      <c r="AJ85" s="864">
        <f t="shared" si="18"/>
        <v>0</v>
      </c>
      <c r="AK85" s="864">
        <f t="shared" si="18"/>
        <v>0</v>
      </c>
      <c r="AL85" s="864">
        <f t="shared" si="18"/>
        <v>0</v>
      </c>
      <c r="AM85" s="864">
        <f t="shared" si="18"/>
        <v>0</v>
      </c>
      <c r="AN85" s="864">
        <f t="shared" si="18"/>
        <v>0</v>
      </c>
      <c r="AO85" s="864">
        <f t="shared" si="18"/>
        <v>0</v>
      </c>
      <c r="AP85" s="864">
        <f t="shared" si="18"/>
        <v>0</v>
      </c>
      <c r="AQ85" s="864">
        <f t="shared" si="18"/>
        <v>0</v>
      </c>
      <c r="AR85" s="864">
        <f t="shared" si="18"/>
        <v>0</v>
      </c>
      <c r="AS85" s="864">
        <f t="shared" si="18"/>
        <v>0</v>
      </c>
      <c r="AT85" s="864">
        <f t="shared" si="18"/>
        <v>0</v>
      </c>
      <c r="AU85" s="864">
        <f t="shared" si="18"/>
        <v>0</v>
      </c>
      <c r="AV85" s="864">
        <f t="shared" si="18"/>
        <v>0</v>
      </c>
      <c r="AW85" s="864">
        <f t="shared" si="18"/>
        <v>0</v>
      </c>
      <c r="AX85" s="864">
        <f t="shared" si="18"/>
        <v>0</v>
      </c>
      <c r="AY85" s="864">
        <f t="shared" si="18"/>
        <v>0</v>
      </c>
    </row>
    <row r="86" spans="1:51" s="782" customFormat="1" ht="14.85" hidden="1" customHeight="1" x14ac:dyDescent="0.2">
      <c r="A86" s="787"/>
      <c r="E86" s="783"/>
      <c r="F86" s="782" t="s">
        <v>276</v>
      </c>
      <c r="G86" s="896">
        <v>15</v>
      </c>
      <c r="H86" s="783" t="s">
        <v>274</v>
      </c>
      <c r="I86" s="861"/>
      <c r="J86" s="861"/>
      <c r="K86" s="793"/>
      <c r="L86" s="793"/>
      <c r="N86" s="896" t="b">
        <f xml:space="preserve"> IF( G86=0,TRUE,IF(SUM(U86:INDEX(U86:AY86,1,$G$23)) = 1, TRUE, FALSE))</f>
        <v>0</v>
      </c>
      <c r="O86" s="783"/>
      <c r="P86" s="786"/>
      <c r="R86" s="783"/>
      <c r="S86" s="784"/>
      <c r="U86" s="864">
        <f t="shared" ref="U86:AY86" si="19">IFERROR((U$64)/(SUM($U$64:$AY$64)),0)</f>
        <v>0</v>
      </c>
      <c r="V86" s="864">
        <f t="shared" si="19"/>
        <v>0</v>
      </c>
      <c r="W86" s="864">
        <f t="shared" si="19"/>
        <v>0</v>
      </c>
      <c r="X86" s="864">
        <f t="shared" si="19"/>
        <v>0</v>
      </c>
      <c r="Y86" s="864">
        <f t="shared" si="19"/>
        <v>0</v>
      </c>
      <c r="Z86" s="864">
        <f t="shared" si="19"/>
        <v>0</v>
      </c>
      <c r="AA86" s="864">
        <f t="shared" si="19"/>
        <v>0</v>
      </c>
      <c r="AB86" s="864">
        <f t="shared" si="19"/>
        <v>0</v>
      </c>
      <c r="AC86" s="864">
        <f t="shared" si="19"/>
        <v>0</v>
      </c>
      <c r="AD86" s="864">
        <f t="shared" si="19"/>
        <v>0</v>
      </c>
      <c r="AE86" s="864">
        <f t="shared" si="19"/>
        <v>0</v>
      </c>
      <c r="AF86" s="864">
        <f t="shared" si="19"/>
        <v>0</v>
      </c>
      <c r="AG86" s="864">
        <f t="shared" si="19"/>
        <v>0</v>
      </c>
      <c r="AH86" s="864">
        <f t="shared" si="19"/>
        <v>0</v>
      </c>
      <c r="AI86" s="864">
        <f t="shared" si="19"/>
        <v>0</v>
      </c>
      <c r="AJ86" s="864">
        <f t="shared" si="19"/>
        <v>0</v>
      </c>
      <c r="AK86" s="864">
        <f t="shared" si="19"/>
        <v>0</v>
      </c>
      <c r="AL86" s="864">
        <f t="shared" si="19"/>
        <v>0</v>
      </c>
      <c r="AM86" s="864">
        <f t="shared" si="19"/>
        <v>0</v>
      </c>
      <c r="AN86" s="864">
        <f t="shared" si="19"/>
        <v>0</v>
      </c>
      <c r="AO86" s="864">
        <f t="shared" si="19"/>
        <v>0</v>
      </c>
      <c r="AP86" s="864">
        <f t="shared" si="19"/>
        <v>0</v>
      </c>
      <c r="AQ86" s="864">
        <f t="shared" si="19"/>
        <v>0</v>
      </c>
      <c r="AR86" s="864">
        <f t="shared" si="19"/>
        <v>0</v>
      </c>
      <c r="AS86" s="864">
        <f t="shared" si="19"/>
        <v>0</v>
      </c>
      <c r="AT86" s="864">
        <f t="shared" si="19"/>
        <v>0</v>
      </c>
      <c r="AU86" s="864">
        <f t="shared" si="19"/>
        <v>0</v>
      </c>
      <c r="AV86" s="864">
        <f t="shared" si="19"/>
        <v>0</v>
      </c>
      <c r="AW86" s="864">
        <f t="shared" si="19"/>
        <v>0</v>
      </c>
      <c r="AX86" s="864">
        <f t="shared" si="19"/>
        <v>0</v>
      </c>
      <c r="AY86" s="864">
        <f t="shared" si="19"/>
        <v>0</v>
      </c>
    </row>
    <row r="87" spans="1:51" s="782" customFormat="1" ht="14.85" hidden="1" customHeight="1" x14ac:dyDescent="0.2">
      <c r="A87" s="787"/>
      <c r="E87" s="783"/>
      <c r="F87" s="782" t="s">
        <v>275</v>
      </c>
      <c r="G87" s="896">
        <v>15</v>
      </c>
      <c r="H87" s="783" t="s">
        <v>274</v>
      </c>
      <c r="I87" s="861"/>
      <c r="J87" s="861"/>
      <c r="K87" s="793"/>
      <c r="L87" s="793"/>
      <c r="N87" s="896" t="b">
        <f xml:space="preserve"> IF( G87=0,TRUE,IF(SUM(U87:INDEX(U87:AY87,1,$G$23)) = 1, TRUE, FALSE))</f>
        <v>0</v>
      </c>
      <c r="O87" s="783"/>
      <c r="P87" s="786"/>
      <c r="R87" s="783"/>
      <c r="S87" s="784"/>
      <c r="U87" s="864">
        <f t="shared" ref="U87:AY87" si="20">IFERROR((U$68)/(SUM($U$68:$AY$68)),0)</f>
        <v>0</v>
      </c>
      <c r="V87" s="864">
        <f t="shared" si="20"/>
        <v>0</v>
      </c>
      <c r="W87" s="864">
        <f t="shared" si="20"/>
        <v>0</v>
      </c>
      <c r="X87" s="864">
        <f t="shared" si="20"/>
        <v>0</v>
      </c>
      <c r="Y87" s="864">
        <f t="shared" si="20"/>
        <v>0</v>
      </c>
      <c r="Z87" s="864">
        <f t="shared" si="20"/>
        <v>0</v>
      </c>
      <c r="AA87" s="864">
        <f t="shared" si="20"/>
        <v>0</v>
      </c>
      <c r="AB87" s="864">
        <f t="shared" si="20"/>
        <v>0</v>
      </c>
      <c r="AC87" s="864">
        <f t="shared" si="20"/>
        <v>0</v>
      </c>
      <c r="AD87" s="864">
        <f t="shared" si="20"/>
        <v>0</v>
      </c>
      <c r="AE87" s="864">
        <f t="shared" si="20"/>
        <v>0</v>
      </c>
      <c r="AF87" s="864">
        <f t="shared" si="20"/>
        <v>0</v>
      </c>
      <c r="AG87" s="864">
        <f t="shared" si="20"/>
        <v>0</v>
      </c>
      <c r="AH87" s="864">
        <f t="shared" si="20"/>
        <v>0</v>
      </c>
      <c r="AI87" s="864">
        <f t="shared" si="20"/>
        <v>0</v>
      </c>
      <c r="AJ87" s="864">
        <f t="shared" si="20"/>
        <v>0</v>
      </c>
      <c r="AK87" s="864">
        <f t="shared" si="20"/>
        <v>0</v>
      </c>
      <c r="AL87" s="864">
        <f t="shared" si="20"/>
        <v>0</v>
      </c>
      <c r="AM87" s="864">
        <f t="shared" si="20"/>
        <v>0</v>
      </c>
      <c r="AN87" s="864">
        <f t="shared" si="20"/>
        <v>0</v>
      </c>
      <c r="AO87" s="864">
        <f t="shared" si="20"/>
        <v>0</v>
      </c>
      <c r="AP87" s="864">
        <f t="shared" si="20"/>
        <v>0</v>
      </c>
      <c r="AQ87" s="864">
        <f t="shared" si="20"/>
        <v>0</v>
      </c>
      <c r="AR87" s="864">
        <f t="shared" si="20"/>
        <v>0</v>
      </c>
      <c r="AS87" s="864">
        <f t="shared" si="20"/>
        <v>0</v>
      </c>
      <c r="AT87" s="864">
        <f t="shared" si="20"/>
        <v>0</v>
      </c>
      <c r="AU87" s="864">
        <f t="shared" si="20"/>
        <v>0</v>
      </c>
      <c r="AV87" s="864">
        <f t="shared" si="20"/>
        <v>0</v>
      </c>
      <c r="AW87" s="864">
        <f t="shared" si="20"/>
        <v>0</v>
      </c>
      <c r="AX87" s="864">
        <f t="shared" si="20"/>
        <v>0</v>
      </c>
      <c r="AY87" s="864">
        <f t="shared" si="20"/>
        <v>0</v>
      </c>
    </row>
    <row r="88" spans="1:51" s="44" customFormat="1" ht="14.85" hidden="1" customHeight="1" x14ac:dyDescent="0.15"/>
    <row r="89" spans="1:51" s="782" customFormat="1" ht="14.85" hidden="1" customHeight="1" x14ac:dyDescent="0.2">
      <c r="A89" s="787"/>
      <c r="E89" s="783"/>
      <c r="F89" s="782" t="s">
        <v>411</v>
      </c>
      <c r="G89" s="896">
        <v>30</v>
      </c>
      <c r="H89" s="783" t="s">
        <v>274</v>
      </c>
      <c r="I89" s="861"/>
      <c r="J89" s="861"/>
      <c r="K89" s="793"/>
      <c r="L89" s="793"/>
      <c r="N89" s="896" t="b">
        <f xml:space="preserve"> IF( G89=0,TRUE,IF(SUM(U89:INDEX(U89:AY89,1,$G$23)) = 1, TRUE, FALSE))</f>
        <v>0</v>
      </c>
      <c r="O89" s="783"/>
      <c r="P89" s="786"/>
      <c r="R89" s="783"/>
      <c r="S89" s="784"/>
      <c r="U89" s="864">
        <f>'ORT uitgangspunten'!P61</f>
        <v>0</v>
      </c>
      <c r="V89" s="864">
        <f>'ORT uitgangspunten'!Q61</f>
        <v>0</v>
      </c>
      <c r="W89" s="864">
        <f>'ORT uitgangspunten'!R61</f>
        <v>0</v>
      </c>
      <c r="X89" s="864">
        <f>'ORT uitgangspunten'!S61</f>
        <v>0</v>
      </c>
      <c r="Y89" s="864">
        <f>'ORT uitgangspunten'!T61</f>
        <v>0</v>
      </c>
      <c r="Z89" s="864">
        <f>'ORT uitgangspunten'!U61</f>
        <v>0</v>
      </c>
      <c r="AA89" s="864">
        <f>'ORT uitgangspunten'!V61</f>
        <v>0</v>
      </c>
      <c r="AB89" s="864">
        <f>'ORT uitgangspunten'!W61</f>
        <v>0</v>
      </c>
      <c r="AC89" s="864">
        <f>'ORT uitgangspunten'!X61</f>
        <v>0</v>
      </c>
      <c r="AD89" s="864">
        <f>'ORT uitgangspunten'!Y61</f>
        <v>0</v>
      </c>
      <c r="AE89" s="864">
        <f>'ORT uitgangspunten'!Z61</f>
        <v>0</v>
      </c>
      <c r="AF89" s="864">
        <f>'ORT uitgangspunten'!AA61</f>
        <v>0</v>
      </c>
      <c r="AG89" s="864">
        <f>'ORT uitgangspunten'!AB61</f>
        <v>0</v>
      </c>
      <c r="AH89" s="864">
        <f>'ORT uitgangspunten'!AC61</f>
        <v>0</v>
      </c>
      <c r="AI89" s="864">
        <f>'ORT uitgangspunten'!AD61</f>
        <v>0</v>
      </c>
      <c r="AJ89" s="864">
        <f>'ORT uitgangspunten'!AE61</f>
        <v>0</v>
      </c>
      <c r="AK89" s="864">
        <f>'ORT uitgangspunten'!AF61</f>
        <v>0</v>
      </c>
      <c r="AL89" s="864">
        <f>'ORT uitgangspunten'!AG61</f>
        <v>0</v>
      </c>
      <c r="AM89" s="864">
        <f>'ORT uitgangspunten'!AH61</f>
        <v>0</v>
      </c>
      <c r="AN89" s="864">
        <f>'ORT uitgangspunten'!AI61</f>
        <v>0</v>
      </c>
      <c r="AO89" s="864">
        <f>'ORT uitgangspunten'!AJ61</f>
        <v>0</v>
      </c>
      <c r="AP89" s="864">
        <f>'ORT uitgangspunten'!AK61</f>
        <v>0</v>
      </c>
      <c r="AQ89" s="864">
        <f>'ORT uitgangspunten'!AL61</f>
        <v>0</v>
      </c>
      <c r="AR89" s="864">
        <f>'ORT uitgangspunten'!AM61</f>
        <v>0</v>
      </c>
      <c r="AS89" s="864">
        <f>'ORT uitgangspunten'!AN61</f>
        <v>0</v>
      </c>
      <c r="AT89" s="864">
        <f>'ORT uitgangspunten'!AO61</f>
        <v>0</v>
      </c>
      <c r="AU89" s="864">
        <f>'ORT uitgangspunten'!AP61</f>
        <v>0</v>
      </c>
      <c r="AV89" s="864">
        <f>'ORT uitgangspunten'!AQ61</f>
        <v>0</v>
      </c>
      <c r="AW89" s="864">
        <f>'ORT uitgangspunten'!AR61</f>
        <v>0</v>
      </c>
      <c r="AX89" s="864">
        <f>'ORT uitgangspunten'!AS61</f>
        <v>0</v>
      </c>
      <c r="AY89" s="864">
        <f>'ORT uitgangspunten'!AT61</f>
        <v>0</v>
      </c>
    </row>
    <row r="90" spans="1:51" s="782" customFormat="1" ht="14.85" hidden="1" customHeight="1" x14ac:dyDescent="0.2">
      <c r="A90" s="787"/>
      <c r="E90" s="783"/>
      <c r="H90" s="861"/>
      <c r="I90" s="861"/>
      <c r="J90" s="861"/>
      <c r="K90" s="793"/>
      <c r="L90" s="793"/>
      <c r="O90" s="783"/>
      <c r="P90" s="786"/>
      <c r="R90" s="783"/>
      <c r="S90" s="784"/>
    </row>
    <row r="91" spans="1:51" s="782" customFormat="1" ht="14.85" hidden="1" customHeight="1" x14ac:dyDescent="0.2">
      <c r="A91" s="787"/>
      <c r="B91" s="915" t="s">
        <v>273</v>
      </c>
      <c r="E91" s="783"/>
      <c r="H91" s="861"/>
      <c r="I91" s="861"/>
      <c r="J91" s="861"/>
      <c r="K91" s="793"/>
      <c r="L91" s="793"/>
      <c r="M91" s="861"/>
      <c r="O91" s="783"/>
      <c r="P91" s="786"/>
      <c r="R91" s="783"/>
      <c r="S91" s="784"/>
    </row>
    <row r="92" spans="1:51" s="782" customFormat="1" ht="14.85" customHeight="1" outlineLevel="1" x14ac:dyDescent="0.2">
      <c r="A92" s="787"/>
      <c r="E92" s="783"/>
      <c r="F92" s="916" t="s">
        <v>272</v>
      </c>
      <c r="G92" s="864">
        <f>SUM(U92:AY92)</f>
        <v>0</v>
      </c>
      <c r="M92" s="793"/>
      <c r="O92" s="783"/>
      <c r="R92" s="783"/>
      <c r="S92" s="784"/>
      <c r="U92" s="864">
        <f t="shared" ref="U92:AJ92" si="21" xml:space="preserve"> U86</f>
        <v>0</v>
      </c>
      <c r="V92" s="864">
        <f t="shared" si="21"/>
        <v>0</v>
      </c>
      <c r="W92" s="864">
        <f t="shared" si="21"/>
        <v>0</v>
      </c>
      <c r="X92" s="864">
        <f t="shared" si="21"/>
        <v>0</v>
      </c>
      <c r="Y92" s="864">
        <f t="shared" si="21"/>
        <v>0</v>
      </c>
      <c r="Z92" s="864">
        <f t="shared" si="21"/>
        <v>0</v>
      </c>
      <c r="AA92" s="864">
        <f t="shared" si="21"/>
        <v>0</v>
      </c>
      <c r="AB92" s="864">
        <f t="shared" si="21"/>
        <v>0</v>
      </c>
      <c r="AC92" s="864">
        <f t="shared" si="21"/>
        <v>0</v>
      </c>
      <c r="AD92" s="864">
        <f t="shared" si="21"/>
        <v>0</v>
      </c>
      <c r="AE92" s="864">
        <f t="shared" si="21"/>
        <v>0</v>
      </c>
      <c r="AF92" s="864">
        <f t="shared" si="21"/>
        <v>0</v>
      </c>
      <c r="AG92" s="864">
        <f t="shared" si="21"/>
        <v>0</v>
      </c>
      <c r="AH92" s="864">
        <f t="shared" si="21"/>
        <v>0</v>
      </c>
      <c r="AI92" s="864">
        <f t="shared" si="21"/>
        <v>0</v>
      </c>
      <c r="AJ92" s="864">
        <f t="shared" si="21"/>
        <v>0</v>
      </c>
      <c r="AK92" s="864">
        <f t="shared" ref="AK92:AY93" si="22" xml:space="preserve"> AK86</f>
        <v>0</v>
      </c>
      <c r="AL92" s="864">
        <f t="shared" si="22"/>
        <v>0</v>
      </c>
      <c r="AM92" s="864">
        <f t="shared" si="22"/>
        <v>0</v>
      </c>
      <c r="AN92" s="864">
        <f t="shared" si="22"/>
        <v>0</v>
      </c>
      <c r="AO92" s="864">
        <f t="shared" si="22"/>
        <v>0</v>
      </c>
      <c r="AP92" s="864">
        <f t="shared" si="22"/>
        <v>0</v>
      </c>
      <c r="AQ92" s="864">
        <f t="shared" si="22"/>
        <v>0</v>
      </c>
      <c r="AR92" s="864">
        <f t="shared" si="22"/>
        <v>0</v>
      </c>
      <c r="AS92" s="864">
        <f t="shared" si="22"/>
        <v>0</v>
      </c>
      <c r="AT92" s="864">
        <f t="shared" si="22"/>
        <v>0</v>
      </c>
      <c r="AU92" s="864">
        <f t="shared" si="22"/>
        <v>0</v>
      </c>
      <c r="AV92" s="864">
        <f t="shared" si="22"/>
        <v>0</v>
      </c>
      <c r="AW92" s="864">
        <f t="shared" si="22"/>
        <v>0</v>
      </c>
      <c r="AX92" s="864">
        <f t="shared" si="22"/>
        <v>0</v>
      </c>
      <c r="AY92" s="864">
        <f t="shared" si="22"/>
        <v>0</v>
      </c>
    </row>
    <row r="93" spans="1:51" s="782" customFormat="1" ht="14.85" customHeight="1" outlineLevel="1" x14ac:dyDescent="0.2">
      <c r="A93" s="787"/>
      <c r="E93" s="783"/>
      <c r="F93" s="916" t="s">
        <v>271</v>
      </c>
      <c r="G93" s="864">
        <f>SUM(U93:AY93)</f>
        <v>0</v>
      </c>
      <c r="M93" s="793"/>
      <c r="O93" s="783"/>
      <c r="R93" s="783"/>
      <c r="S93" s="784"/>
      <c r="U93" s="864">
        <f t="shared" ref="U93:AJ93" si="23" xml:space="preserve"> U87</f>
        <v>0</v>
      </c>
      <c r="V93" s="864">
        <f t="shared" si="23"/>
        <v>0</v>
      </c>
      <c r="W93" s="864">
        <f t="shared" si="23"/>
        <v>0</v>
      </c>
      <c r="X93" s="864">
        <f t="shared" si="23"/>
        <v>0</v>
      </c>
      <c r="Y93" s="864">
        <f t="shared" si="23"/>
        <v>0</v>
      </c>
      <c r="Z93" s="864">
        <f t="shared" si="23"/>
        <v>0</v>
      </c>
      <c r="AA93" s="864">
        <f t="shared" si="23"/>
        <v>0</v>
      </c>
      <c r="AB93" s="864">
        <f t="shared" si="23"/>
        <v>0</v>
      </c>
      <c r="AC93" s="864">
        <f t="shared" si="23"/>
        <v>0</v>
      </c>
      <c r="AD93" s="864">
        <f t="shared" si="23"/>
        <v>0</v>
      </c>
      <c r="AE93" s="864">
        <f t="shared" si="23"/>
        <v>0</v>
      </c>
      <c r="AF93" s="864">
        <f t="shared" si="23"/>
        <v>0</v>
      </c>
      <c r="AG93" s="864">
        <f t="shared" si="23"/>
        <v>0</v>
      </c>
      <c r="AH93" s="864">
        <f t="shared" si="23"/>
        <v>0</v>
      </c>
      <c r="AI93" s="864">
        <f t="shared" si="23"/>
        <v>0</v>
      </c>
      <c r="AJ93" s="864">
        <f t="shared" si="23"/>
        <v>0</v>
      </c>
      <c r="AK93" s="864">
        <f t="shared" si="22"/>
        <v>0</v>
      </c>
      <c r="AL93" s="864">
        <f t="shared" si="22"/>
        <v>0</v>
      </c>
      <c r="AM93" s="864">
        <f t="shared" si="22"/>
        <v>0</v>
      </c>
      <c r="AN93" s="864">
        <f t="shared" si="22"/>
        <v>0</v>
      </c>
      <c r="AO93" s="864">
        <f t="shared" si="22"/>
        <v>0</v>
      </c>
      <c r="AP93" s="864">
        <f t="shared" si="22"/>
        <v>0</v>
      </c>
      <c r="AQ93" s="864">
        <f t="shared" si="22"/>
        <v>0</v>
      </c>
      <c r="AR93" s="864">
        <f t="shared" si="22"/>
        <v>0</v>
      </c>
      <c r="AS93" s="864">
        <f t="shared" si="22"/>
        <v>0</v>
      </c>
      <c r="AT93" s="864">
        <f t="shared" si="22"/>
        <v>0</v>
      </c>
      <c r="AU93" s="864">
        <f t="shared" si="22"/>
        <v>0</v>
      </c>
      <c r="AV93" s="864">
        <f t="shared" si="22"/>
        <v>0</v>
      </c>
      <c r="AW93" s="864">
        <f t="shared" si="22"/>
        <v>0</v>
      </c>
      <c r="AX93" s="864">
        <f t="shared" si="22"/>
        <v>0</v>
      </c>
      <c r="AY93" s="864">
        <f t="shared" si="22"/>
        <v>0</v>
      </c>
    </row>
    <row r="94" spans="1:51" ht="14.85" customHeight="1" x14ac:dyDescent="0.2">
      <c r="E94" s="755"/>
      <c r="I94" s="746"/>
      <c r="J94" s="746"/>
      <c r="K94" s="746"/>
      <c r="L94" s="746"/>
      <c r="M94" s="746"/>
      <c r="O94" s="755"/>
      <c r="R94" s="755"/>
    </row>
    <row r="95" spans="1:51" ht="14.85" customHeight="1" x14ac:dyDescent="0.2">
      <c r="E95" s="755"/>
      <c r="I95" s="746"/>
      <c r="J95" s="746"/>
      <c r="K95" s="746"/>
      <c r="L95" s="746"/>
      <c r="M95" s="746"/>
      <c r="O95" s="755"/>
      <c r="R95" s="755"/>
      <c r="AC95" s="781"/>
      <c r="AD95" s="781"/>
      <c r="AE95" s="781"/>
      <c r="AF95" s="781"/>
      <c r="AG95" s="781"/>
      <c r="AH95" s="781"/>
      <c r="AI95" s="781"/>
      <c r="AJ95" s="781"/>
    </row>
    <row r="96" spans="1:51" ht="14.85" customHeight="1" x14ac:dyDescent="0.2">
      <c r="E96" s="755"/>
      <c r="I96" s="746"/>
      <c r="J96" s="746"/>
      <c r="K96" s="746"/>
      <c r="L96" s="746"/>
      <c r="M96" s="746"/>
      <c r="O96" s="755"/>
      <c r="R96" s="755"/>
    </row>
    <row r="97" spans="5:18" ht="14.85" customHeight="1" x14ac:dyDescent="0.2">
      <c r="E97" s="755"/>
      <c r="I97" s="746"/>
      <c r="J97" s="746"/>
      <c r="K97" s="746"/>
      <c r="L97" s="746"/>
      <c r="M97" s="746"/>
      <c r="O97" s="755"/>
      <c r="R97" s="755"/>
    </row>
    <row r="98" spans="5:18" ht="14.85" customHeight="1" x14ac:dyDescent="0.2">
      <c r="E98" s="755"/>
      <c r="I98" s="746"/>
      <c r="J98" s="746"/>
      <c r="K98" s="746"/>
      <c r="L98" s="746"/>
      <c r="M98" s="746"/>
      <c r="O98" s="755"/>
      <c r="R98" s="755"/>
    </row>
    <row r="99" spans="5:18" ht="14.85" customHeight="1" x14ac:dyDescent="0.2">
      <c r="E99" s="755"/>
      <c r="I99" s="746"/>
      <c r="J99" s="746"/>
      <c r="K99" s="746"/>
      <c r="L99" s="746"/>
      <c r="M99" s="746"/>
      <c r="O99" s="755"/>
      <c r="R99" s="755"/>
    </row>
    <row r="100" spans="5:18" ht="14.85" customHeight="1" x14ac:dyDescent="0.2">
      <c r="E100" s="755"/>
      <c r="I100" s="746"/>
      <c r="J100" s="746"/>
      <c r="K100" s="746"/>
      <c r="L100" s="746"/>
      <c r="M100" s="746"/>
      <c r="O100" s="755"/>
      <c r="R100" s="755"/>
    </row>
    <row r="101" spans="5:18" x14ac:dyDescent="0.2">
      <c r="E101" s="755"/>
      <c r="I101" s="746"/>
      <c r="J101" s="746"/>
      <c r="K101" s="746"/>
      <c r="L101" s="746"/>
      <c r="M101" s="746"/>
      <c r="O101" s="755"/>
      <c r="R101" s="755"/>
    </row>
    <row r="102" spans="5:18" x14ac:dyDescent="0.2">
      <c r="E102" s="755"/>
      <c r="I102" s="746"/>
      <c r="J102" s="746"/>
      <c r="K102" s="746"/>
      <c r="L102" s="746"/>
      <c r="M102" s="746"/>
      <c r="O102" s="755"/>
      <c r="R102" s="755"/>
    </row>
    <row r="103" spans="5:18" x14ac:dyDescent="0.2">
      <c r="E103" s="755"/>
      <c r="I103" s="746"/>
      <c r="J103" s="746"/>
      <c r="K103" s="746"/>
      <c r="L103" s="746"/>
      <c r="M103" s="746"/>
      <c r="O103" s="755"/>
      <c r="R103" s="755"/>
    </row>
    <row r="104" spans="5:18" x14ac:dyDescent="0.2">
      <c r="E104" s="755"/>
      <c r="I104" s="746"/>
      <c r="J104" s="746"/>
      <c r="K104" s="746"/>
      <c r="L104" s="746"/>
      <c r="M104" s="746"/>
      <c r="O104" s="755"/>
      <c r="R104" s="755"/>
    </row>
    <row r="105" spans="5:18" x14ac:dyDescent="0.2">
      <c r="E105" s="755"/>
      <c r="I105" s="746"/>
      <c r="J105" s="746"/>
      <c r="K105" s="746"/>
      <c r="L105" s="746"/>
      <c r="M105" s="746"/>
      <c r="O105" s="755"/>
      <c r="R105" s="755"/>
    </row>
    <row r="106" spans="5:18" x14ac:dyDescent="0.2">
      <c r="E106" s="755"/>
      <c r="I106" s="746"/>
      <c r="J106" s="746"/>
      <c r="K106" s="746"/>
      <c r="L106" s="746"/>
      <c r="M106" s="746"/>
      <c r="O106" s="755"/>
      <c r="R106" s="755"/>
    </row>
    <row r="107" spans="5:18" x14ac:dyDescent="0.2">
      <c r="E107" s="755"/>
      <c r="I107" s="746"/>
      <c r="J107" s="746"/>
      <c r="K107" s="746"/>
      <c r="L107" s="746"/>
      <c r="M107" s="746"/>
      <c r="O107" s="755"/>
      <c r="R107" s="755"/>
    </row>
    <row r="108" spans="5:18" x14ac:dyDescent="0.2">
      <c r="E108" s="755"/>
      <c r="I108" s="746"/>
      <c r="J108" s="746"/>
      <c r="K108" s="746"/>
      <c r="L108" s="746"/>
      <c r="M108" s="746"/>
      <c r="O108" s="755"/>
      <c r="R108" s="755"/>
    </row>
    <row r="109" spans="5:18" x14ac:dyDescent="0.2">
      <c r="E109" s="755"/>
      <c r="I109" s="746"/>
      <c r="J109" s="746"/>
      <c r="K109" s="746"/>
      <c r="L109" s="746"/>
      <c r="M109" s="746"/>
      <c r="O109" s="755"/>
      <c r="R109" s="755"/>
    </row>
    <row r="110" spans="5:18" x14ac:dyDescent="0.2">
      <c r="E110" s="755"/>
      <c r="I110" s="746"/>
      <c r="J110" s="746"/>
      <c r="K110" s="746"/>
      <c r="L110" s="746"/>
      <c r="M110" s="746"/>
      <c r="O110" s="755"/>
      <c r="R110" s="755"/>
    </row>
    <row r="111" spans="5:18" x14ac:dyDescent="0.2">
      <c r="E111" s="755"/>
      <c r="I111" s="746"/>
      <c r="J111" s="746"/>
      <c r="K111" s="746"/>
      <c r="L111" s="746"/>
      <c r="M111" s="746"/>
      <c r="O111" s="755"/>
      <c r="R111" s="755"/>
    </row>
    <row r="112" spans="5:18" x14ac:dyDescent="0.2">
      <c r="E112" s="755"/>
      <c r="I112" s="746"/>
      <c r="J112" s="746"/>
      <c r="K112" s="746"/>
      <c r="L112" s="746"/>
      <c r="M112" s="746"/>
      <c r="O112" s="755"/>
      <c r="R112" s="755"/>
    </row>
    <row r="113" spans="5:18" x14ac:dyDescent="0.2">
      <c r="E113" s="755"/>
      <c r="I113" s="746"/>
      <c r="J113" s="746"/>
      <c r="K113" s="746"/>
      <c r="L113" s="746"/>
      <c r="M113" s="746"/>
      <c r="O113" s="755"/>
      <c r="R113" s="755"/>
    </row>
    <row r="114" spans="5:18" x14ac:dyDescent="0.2">
      <c r="E114" s="755"/>
      <c r="I114" s="746"/>
      <c r="J114" s="746"/>
      <c r="K114" s="746"/>
      <c r="L114" s="746"/>
      <c r="M114" s="746"/>
      <c r="O114" s="755"/>
      <c r="R114" s="755"/>
    </row>
    <row r="115" spans="5:18" x14ac:dyDescent="0.2">
      <c r="E115" s="755"/>
      <c r="I115" s="746"/>
      <c r="J115" s="746"/>
      <c r="K115" s="746"/>
      <c r="L115" s="746"/>
      <c r="M115" s="746"/>
      <c r="O115" s="755"/>
      <c r="R115" s="755"/>
    </row>
    <row r="116" spans="5:18" x14ac:dyDescent="0.2">
      <c r="E116" s="755"/>
      <c r="I116" s="746"/>
      <c r="J116" s="746"/>
      <c r="K116" s="746"/>
      <c r="L116" s="746"/>
      <c r="M116" s="746"/>
      <c r="O116" s="755"/>
      <c r="R116" s="755"/>
    </row>
    <row r="117" spans="5:18" x14ac:dyDescent="0.2">
      <c r="E117" s="755"/>
      <c r="I117" s="746"/>
      <c r="J117" s="746"/>
      <c r="K117" s="746"/>
      <c r="L117" s="746"/>
      <c r="M117" s="746"/>
      <c r="O117" s="755"/>
      <c r="R117" s="755"/>
    </row>
    <row r="118" spans="5:18" x14ac:dyDescent="0.2">
      <c r="E118" s="755"/>
      <c r="I118" s="746"/>
      <c r="J118" s="746"/>
      <c r="K118" s="746"/>
      <c r="L118" s="746"/>
      <c r="M118" s="746"/>
      <c r="O118" s="755"/>
      <c r="R118" s="755"/>
    </row>
    <row r="119" spans="5:18" x14ac:dyDescent="0.2">
      <c r="E119" s="755"/>
      <c r="I119" s="746"/>
      <c r="J119" s="746"/>
      <c r="K119" s="746"/>
      <c r="L119" s="746"/>
      <c r="M119" s="746"/>
      <c r="O119" s="755"/>
      <c r="R119" s="755"/>
    </row>
    <row r="120" spans="5:18" x14ac:dyDescent="0.2">
      <c r="E120" s="755"/>
      <c r="I120" s="746"/>
      <c r="J120" s="746"/>
      <c r="K120" s="746"/>
      <c r="L120" s="746"/>
      <c r="M120" s="746"/>
      <c r="O120" s="755"/>
      <c r="R120" s="755"/>
    </row>
    <row r="121" spans="5:18" x14ac:dyDescent="0.2">
      <c r="E121" s="755"/>
      <c r="I121" s="746"/>
      <c r="J121" s="746"/>
      <c r="K121" s="746"/>
      <c r="L121" s="746"/>
      <c r="M121" s="746"/>
      <c r="O121" s="755"/>
      <c r="R121" s="755"/>
    </row>
    <row r="122" spans="5:18" x14ac:dyDescent="0.2">
      <c r="E122" s="755"/>
      <c r="I122" s="746"/>
      <c r="J122" s="746"/>
      <c r="K122" s="746"/>
      <c r="L122" s="746"/>
      <c r="M122" s="746"/>
      <c r="O122" s="755"/>
      <c r="R122" s="755"/>
    </row>
    <row r="123" spans="5:18" x14ac:dyDescent="0.2">
      <c r="E123" s="755"/>
      <c r="I123" s="746"/>
      <c r="J123" s="746"/>
      <c r="K123" s="746"/>
      <c r="L123" s="746"/>
      <c r="M123" s="746"/>
      <c r="O123" s="755"/>
      <c r="R123" s="755"/>
    </row>
    <row r="124" spans="5:18" x14ac:dyDescent="0.2">
      <c r="E124" s="755"/>
      <c r="I124" s="746"/>
      <c r="J124" s="746"/>
      <c r="K124" s="746"/>
      <c r="L124" s="746"/>
      <c r="M124" s="746"/>
      <c r="O124" s="755"/>
      <c r="R124" s="755"/>
    </row>
    <row r="125" spans="5:18" x14ac:dyDescent="0.2">
      <c r="E125" s="755"/>
      <c r="I125" s="746"/>
      <c r="J125" s="746"/>
      <c r="K125" s="746"/>
      <c r="L125" s="746"/>
      <c r="M125" s="746"/>
      <c r="O125" s="755"/>
      <c r="R125" s="755"/>
    </row>
    <row r="126" spans="5:18" x14ac:dyDescent="0.2">
      <c r="E126" s="755"/>
      <c r="I126" s="746"/>
      <c r="J126" s="746"/>
      <c r="K126" s="746"/>
      <c r="L126" s="746"/>
      <c r="M126" s="746"/>
      <c r="O126" s="755"/>
      <c r="R126" s="755"/>
    </row>
    <row r="127" spans="5:18" x14ac:dyDescent="0.2">
      <c r="E127" s="755"/>
      <c r="I127" s="746"/>
      <c r="J127" s="746"/>
      <c r="K127" s="746"/>
      <c r="L127" s="746"/>
      <c r="M127" s="746"/>
      <c r="O127" s="755"/>
      <c r="R127" s="755"/>
    </row>
    <row r="128" spans="5:18" x14ac:dyDescent="0.2">
      <c r="E128" s="755"/>
      <c r="I128" s="746"/>
      <c r="J128" s="746"/>
      <c r="K128" s="746"/>
      <c r="L128" s="746"/>
      <c r="M128" s="746"/>
      <c r="O128" s="755"/>
      <c r="R128" s="755"/>
    </row>
    <row r="129" spans="5:18" x14ac:dyDescent="0.2">
      <c r="E129" s="755"/>
      <c r="I129" s="746"/>
      <c r="J129" s="746"/>
      <c r="K129" s="746"/>
      <c r="L129" s="746"/>
      <c r="M129" s="746"/>
      <c r="O129" s="755"/>
      <c r="R129" s="755"/>
    </row>
    <row r="130" spans="5:18" x14ac:dyDescent="0.2">
      <c r="E130" s="755"/>
      <c r="I130" s="746"/>
      <c r="J130" s="746"/>
      <c r="K130" s="746"/>
      <c r="L130" s="746"/>
      <c r="M130" s="746"/>
      <c r="O130" s="755"/>
      <c r="R130" s="755"/>
    </row>
    <row r="131" spans="5:18" x14ac:dyDescent="0.2">
      <c r="E131" s="755"/>
      <c r="I131" s="746"/>
      <c r="J131" s="746"/>
      <c r="K131" s="746"/>
      <c r="L131" s="746"/>
      <c r="M131" s="746"/>
      <c r="O131" s="755"/>
      <c r="R131" s="755"/>
    </row>
    <row r="132" spans="5:18" x14ac:dyDescent="0.2">
      <c r="E132" s="755"/>
      <c r="I132" s="746"/>
      <c r="J132" s="746"/>
      <c r="K132" s="746"/>
      <c r="L132" s="746"/>
      <c r="M132" s="746"/>
      <c r="O132" s="755"/>
      <c r="R132" s="755"/>
    </row>
    <row r="133" spans="5:18" x14ac:dyDescent="0.2">
      <c r="E133" s="755"/>
      <c r="I133" s="746"/>
      <c r="J133" s="746"/>
      <c r="K133" s="746"/>
      <c r="L133" s="746"/>
      <c r="M133" s="746"/>
      <c r="O133" s="755"/>
      <c r="R133" s="755"/>
    </row>
    <row r="134" spans="5:18" x14ac:dyDescent="0.2">
      <c r="E134" s="755"/>
      <c r="I134" s="746"/>
      <c r="J134" s="746"/>
      <c r="K134" s="746"/>
      <c r="L134" s="746"/>
      <c r="M134" s="746"/>
      <c r="O134" s="755"/>
      <c r="R134" s="755"/>
    </row>
    <row r="135" spans="5:18" x14ac:dyDescent="0.2">
      <c r="E135" s="755"/>
      <c r="I135" s="746"/>
      <c r="J135" s="746"/>
      <c r="K135" s="746"/>
      <c r="L135" s="746"/>
      <c r="M135" s="746"/>
      <c r="O135" s="755"/>
      <c r="R135" s="755"/>
    </row>
    <row r="136" spans="5:18" x14ac:dyDescent="0.2">
      <c r="E136" s="755"/>
      <c r="I136" s="746"/>
      <c r="J136" s="746"/>
      <c r="K136" s="746"/>
      <c r="L136" s="746"/>
      <c r="M136" s="746"/>
      <c r="O136" s="755"/>
      <c r="R136" s="755"/>
    </row>
    <row r="137" spans="5:18" x14ac:dyDescent="0.2">
      <c r="E137" s="755"/>
      <c r="I137" s="746"/>
      <c r="J137" s="746"/>
      <c r="K137" s="746"/>
      <c r="L137" s="746"/>
      <c r="M137" s="746"/>
      <c r="O137" s="755"/>
      <c r="R137" s="755"/>
    </row>
    <row r="138" spans="5:18" x14ac:dyDescent="0.2">
      <c r="E138" s="755"/>
      <c r="I138" s="746"/>
      <c r="J138" s="746"/>
      <c r="K138" s="746"/>
      <c r="L138" s="746"/>
      <c r="M138" s="746"/>
      <c r="O138" s="755"/>
      <c r="R138" s="755"/>
    </row>
    <row r="139" spans="5:18" x14ac:dyDescent="0.2">
      <c r="E139" s="755"/>
      <c r="I139" s="746"/>
      <c r="J139" s="746"/>
      <c r="K139" s="746"/>
      <c r="L139" s="746"/>
      <c r="M139" s="746"/>
      <c r="O139" s="755"/>
      <c r="R139" s="755"/>
    </row>
    <row r="140" spans="5:18" x14ac:dyDescent="0.2">
      <c r="E140" s="755"/>
      <c r="I140" s="746"/>
      <c r="J140" s="746"/>
      <c r="K140" s="746"/>
      <c r="L140" s="746"/>
      <c r="M140" s="746"/>
      <c r="O140" s="755"/>
      <c r="R140" s="755"/>
    </row>
    <row r="141" spans="5:18" x14ac:dyDescent="0.2">
      <c r="E141" s="755"/>
      <c r="I141" s="746"/>
      <c r="J141" s="746"/>
      <c r="K141" s="746"/>
      <c r="L141" s="746"/>
      <c r="M141" s="746"/>
      <c r="O141" s="755"/>
      <c r="R141" s="755"/>
    </row>
    <row r="142" spans="5:18" x14ac:dyDescent="0.2">
      <c r="E142" s="755"/>
      <c r="I142" s="746"/>
      <c r="J142" s="746"/>
      <c r="K142" s="746"/>
      <c r="L142" s="746"/>
      <c r="M142" s="746"/>
      <c r="O142" s="755"/>
      <c r="R142" s="755"/>
    </row>
    <row r="143" spans="5:18" x14ac:dyDescent="0.2">
      <c r="E143" s="755"/>
      <c r="I143" s="746"/>
      <c r="J143" s="746"/>
      <c r="K143" s="746"/>
      <c r="L143" s="746"/>
      <c r="M143" s="746"/>
      <c r="O143" s="755"/>
      <c r="R143" s="755"/>
    </row>
    <row r="144" spans="5:18" x14ac:dyDescent="0.2">
      <c r="E144" s="755"/>
      <c r="I144" s="746"/>
      <c r="J144" s="746"/>
      <c r="K144" s="746"/>
      <c r="L144" s="746"/>
      <c r="M144" s="746"/>
      <c r="O144" s="755"/>
      <c r="R144" s="755"/>
    </row>
    <row r="145" spans="5:18" x14ac:dyDescent="0.2">
      <c r="E145" s="755"/>
      <c r="I145" s="746"/>
      <c r="J145" s="746"/>
      <c r="K145" s="746"/>
      <c r="L145" s="746"/>
      <c r="M145" s="746"/>
      <c r="O145" s="755"/>
      <c r="R145" s="755"/>
    </row>
    <row r="146" spans="5:18" x14ac:dyDescent="0.2">
      <c r="E146" s="755"/>
      <c r="I146" s="746"/>
      <c r="J146" s="746"/>
      <c r="K146" s="746"/>
      <c r="L146" s="746"/>
      <c r="M146" s="746"/>
      <c r="O146" s="755"/>
      <c r="R146" s="755"/>
    </row>
    <row r="147" spans="5:18" x14ac:dyDescent="0.2">
      <c r="E147" s="755"/>
      <c r="I147" s="746"/>
      <c r="J147" s="746"/>
      <c r="K147" s="746"/>
      <c r="L147" s="746"/>
      <c r="M147" s="746"/>
      <c r="O147" s="755"/>
      <c r="R147" s="755"/>
    </row>
    <row r="148" spans="5:18" x14ac:dyDescent="0.2">
      <c r="E148" s="755"/>
      <c r="I148" s="746"/>
      <c r="J148" s="746"/>
      <c r="K148" s="746"/>
      <c r="L148" s="746"/>
      <c r="M148" s="746"/>
      <c r="O148" s="755"/>
      <c r="R148" s="755"/>
    </row>
    <row r="149" spans="5:18" x14ac:dyDescent="0.2">
      <c r="E149" s="755"/>
      <c r="I149" s="746"/>
      <c r="J149" s="746"/>
      <c r="K149" s="746"/>
      <c r="L149" s="746"/>
      <c r="M149" s="746"/>
      <c r="O149" s="755"/>
      <c r="R149" s="755"/>
    </row>
    <row r="150" spans="5:18" x14ac:dyDescent="0.2">
      <c r="E150" s="755"/>
      <c r="I150" s="746"/>
      <c r="J150" s="746"/>
      <c r="K150" s="746"/>
      <c r="L150" s="746"/>
      <c r="M150" s="746"/>
      <c r="O150" s="755"/>
      <c r="R150" s="755"/>
    </row>
    <row r="151" spans="5:18" x14ac:dyDescent="0.2">
      <c r="E151" s="755"/>
      <c r="I151" s="746"/>
      <c r="J151" s="746"/>
      <c r="K151" s="746"/>
      <c r="L151" s="746"/>
      <c r="M151" s="746"/>
      <c r="O151" s="755"/>
      <c r="R151" s="755"/>
    </row>
    <row r="152" spans="5:18" x14ac:dyDescent="0.2">
      <c r="E152" s="755"/>
      <c r="I152" s="746"/>
      <c r="J152" s="746"/>
      <c r="K152" s="746"/>
      <c r="L152" s="746"/>
      <c r="M152" s="746"/>
      <c r="O152" s="755"/>
      <c r="R152" s="755"/>
    </row>
    <row r="153" spans="5:18" x14ac:dyDescent="0.2">
      <c r="I153" s="746"/>
      <c r="J153" s="746"/>
      <c r="K153" s="746"/>
      <c r="L153" s="746"/>
      <c r="M153" s="746"/>
    </row>
    <row r="154" spans="5:18" x14ac:dyDescent="0.2">
      <c r="I154" s="746"/>
      <c r="J154" s="746"/>
      <c r="K154" s="746"/>
      <c r="L154" s="746"/>
      <c r="M154" s="746"/>
    </row>
    <row r="155" spans="5:18" x14ac:dyDescent="0.2">
      <c r="I155" s="746"/>
      <c r="J155" s="746"/>
      <c r="K155" s="746"/>
      <c r="L155" s="746"/>
      <c r="M155" s="746"/>
    </row>
    <row r="156" spans="5:18" x14ac:dyDescent="0.2">
      <c r="I156" s="746"/>
      <c r="J156" s="746"/>
      <c r="K156" s="746"/>
      <c r="L156" s="746"/>
      <c r="M156" s="746"/>
    </row>
    <row r="157" spans="5:18" x14ac:dyDescent="0.2">
      <c r="I157" s="746"/>
      <c r="J157" s="746"/>
      <c r="K157" s="746"/>
      <c r="L157" s="746"/>
      <c r="M157" s="746"/>
    </row>
    <row r="158" spans="5:18" ht="14.85" customHeight="1" x14ac:dyDescent="0.2">
      <c r="I158" s="746"/>
      <c r="J158" s="746"/>
      <c r="K158" s="746"/>
      <c r="L158" s="746"/>
      <c r="M158" s="746"/>
    </row>
    <row r="159" spans="5:18" x14ac:dyDescent="0.2">
      <c r="I159" s="746"/>
      <c r="J159" s="746"/>
      <c r="K159" s="746"/>
      <c r="L159" s="746"/>
      <c r="M159" s="746"/>
    </row>
    <row r="160" spans="5:18" x14ac:dyDescent="0.2">
      <c r="I160" s="746"/>
      <c r="J160" s="746"/>
      <c r="K160" s="746"/>
      <c r="L160" s="746"/>
      <c r="M160" s="746"/>
    </row>
    <row r="161" spans="9:13" x14ac:dyDescent="0.2">
      <c r="I161" s="746"/>
      <c r="J161" s="746"/>
      <c r="K161" s="746"/>
      <c r="L161" s="746"/>
      <c r="M161" s="746"/>
    </row>
    <row r="162" spans="9:13" x14ac:dyDescent="0.2">
      <c r="I162" s="746"/>
      <c r="J162" s="746"/>
      <c r="K162" s="746"/>
      <c r="L162" s="746"/>
      <c r="M162" s="746"/>
    </row>
    <row r="163" spans="9:13" x14ac:dyDescent="0.2">
      <c r="I163" s="746"/>
      <c r="J163" s="746"/>
      <c r="K163" s="746"/>
      <c r="L163" s="746"/>
      <c r="M163" s="746"/>
    </row>
    <row r="164" spans="9:13" x14ac:dyDescent="0.2">
      <c r="I164" s="746"/>
      <c r="J164" s="746"/>
      <c r="K164" s="746"/>
      <c r="L164" s="746"/>
      <c r="M164" s="746"/>
    </row>
    <row r="165" spans="9:13" x14ac:dyDescent="0.2">
      <c r="I165" s="746"/>
      <c r="J165" s="746"/>
      <c r="K165" s="746"/>
      <c r="L165" s="746"/>
      <c r="M165" s="746"/>
    </row>
    <row r="166" spans="9:13" x14ac:dyDescent="0.2">
      <c r="I166" s="746"/>
      <c r="J166" s="746"/>
      <c r="K166" s="746"/>
      <c r="L166" s="746"/>
      <c r="M166" s="746"/>
    </row>
    <row r="167" spans="9:13" x14ac:dyDescent="0.2">
      <c r="I167" s="746"/>
      <c r="J167" s="746"/>
      <c r="K167" s="746"/>
      <c r="L167" s="746"/>
      <c r="M167" s="746"/>
    </row>
    <row r="168" spans="9:13" x14ac:dyDescent="0.2">
      <c r="I168" s="746"/>
      <c r="J168" s="746"/>
      <c r="K168" s="746"/>
      <c r="L168" s="746"/>
      <c r="M168" s="746"/>
    </row>
    <row r="169" spans="9:13" x14ac:dyDescent="0.2">
      <c r="I169" s="746"/>
      <c r="J169" s="746"/>
      <c r="K169" s="746"/>
      <c r="L169" s="746"/>
      <c r="M169" s="746"/>
    </row>
    <row r="170" spans="9:13" x14ac:dyDescent="0.2">
      <c r="I170" s="746"/>
      <c r="J170" s="746"/>
      <c r="K170" s="746"/>
      <c r="L170" s="746"/>
      <c r="M170" s="746"/>
    </row>
    <row r="171" spans="9:13" x14ac:dyDescent="0.2">
      <c r="I171" s="746"/>
      <c r="J171" s="746"/>
      <c r="K171" s="746"/>
      <c r="L171" s="746"/>
      <c r="M171" s="746"/>
    </row>
    <row r="172" spans="9:13" x14ac:dyDescent="0.2">
      <c r="I172" s="746"/>
      <c r="J172" s="746"/>
      <c r="K172" s="746"/>
      <c r="L172" s="746"/>
      <c r="M172" s="746"/>
    </row>
    <row r="173" spans="9:13" x14ac:dyDescent="0.2">
      <c r="I173" s="746"/>
      <c r="J173" s="746"/>
      <c r="K173" s="746"/>
      <c r="L173" s="746"/>
      <c r="M173" s="746"/>
    </row>
    <row r="174" spans="9:13" x14ac:dyDescent="0.2"/>
    <row r="175" spans="9:13" x14ac:dyDescent="0.2"/>
    <row r="176" spans="9:13"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sheetData>
  <sheetProtection algorithmName="SHA-512" hashValue="LsQ/asXHt5Z6FYp33dD7NWRpBTAmIRHZIshEIE/1i9ksM7mVdWuD6KrLng22RCMou7yN5RD4c/t/81R8D5zdug==" saltValue="0q9NKN8y54LbZKe71tQDmg==" spinCount="100000" sheet="1" objects="1" scenarios="1"/>
  <conditionalFormatting sqref="I58:I59">
    <cfRule type="cellIs" dxfId="1" priority="3" operator="equal">
      <formula>FALSE</formula>
    </cfRule>
    <cfRule type="cellIs" dxfId="0" priority="4" operator="equal">
      <formula>TRUE</formula>
    </cfRule>
  </conditionalFormatting>
  <dataValidations count="5">
    <dataValidation type="list" allowBlank="1" showInputMessage="1" showErrorMessage="1" sqref="G24" xr:uid="{B4FCEB1E-17FB-49A3-B050-3DE67D516F5C}">
      <formula1>#REF!</formula1>
    </dataValidation>
    <dataValidation type="decimal" allowBlank="1" showInputMessage="1" showErrorMessage="1" errorTitle="Ongeldige participatiegraad" error="Vul een participatiegraad tussen de 60% en 100% in." sqref="P44:P53 P31:P40" xr:uid="{801794F2-591E-4CF7-B692-4E94BD6EEE3D}">
      <formula1>0.6</formula1>
      <formula2>1</formula2>
    </dataValidation>
    <dataValidation allowBlank="1" showInputMessage="1" showErrorMessage="1" prompt="NB. Geef in de kolommen S t/m BZ de fasering op in percentages. Zie ook aanvullende toelichting." sqref="H26" xr:uid="{AD0DB2C6-34D8-477F-90F0-BFB18F4D7491}"/>
    <dataValidation allowBlank="1" showInputMessage="1" showErrorMessage="1" prompt="NB. Geef in kolommen S t/m BZ de fasering. Het betreft percentages van de totale BAK o.b.v. het aantal aansluitingen in de eindsituatie." sqref="H94:H95" xr:uid="{B8808282-53C1-40EE-A009-32EC67A01572}"/>
    <dataValidation allowBlank="1" showInputMessage="1" showErrorMessage="1" prompt="Geef in kolommen S t/m BZ aan vanaf welk jaar de operationele kosten (OPEX) meetellen. Zorg dat het totaal in de rij overeenkomst met de hier opgegeven waarde." sqref="H98:H102" xr:uid="{EF475522-98EF-4305-A8FC-561028F1E15D}"/>
  </dataValidations>
  <pageMargins left="0.74803149606299213" right="0.74803149606299213"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0">
    <tabColor rgb="FFFFFF00"/>
    <pageSetUpPr fitToPage="1"/>
  </sheetPr>
  <dimension ref="A1:R27"/>
  <sheetViews>
    <sheetView showGridLines="0" zoomScale="90" zoomScaleNormal="90" zoomScaleSheetLayoutView="80" workbookViewId="0">
      <selection activeCell="O6" sqref="O6"/>
    </sheetView>
  </sheetViews>
  <sheetFormatPr defaultColWidth="9.28515625" defaultRowHeight="11.25" x14ac:dyDescent="0.2"/>
  <cols>
    <col min="1" max="1" width="37.5703125" style="128" customWidth="1"/>
    <col min="2" max="2" width="24.28515625" style="128" customWidth="1"/>
    <col min="3" max="4" width="19.5703125" style="128" customWidth="1"/>
    <col min="5" max="5" width="16.5703125" style="128" customWidth="1"/>
    <col min="6" max="6" width="20.28515625" style="128" customWidth="1"/>
    <col min="7" max="7" width="32.28515625" style="128" customWidth="1"/>
    <col min="8" max="8" width="24.28515625" style="128" customWidth="1"/>
    <col min="9" max="9" width="27.28515625" style="128" customWidth="1"/>
    <col min="10" max="13" width="16.5703125" style="128" customWidth="1"/>
    <col min="14" max="18" width="16.28515625" style="128" customWidth="1"/>
    <col min="19" max="24" width="9.28515625" style="128"/>
    <col min="25" max="27" width="9.28515625" style="128" customWidth="1"/>
    <col min="28" max="16384" width="9.28515625" style="128"/>
  </cols>
  <sheetData>
    <row r="1" spans="1:18" ht="20.25" x14ac:dyDescent="0.2">
      <c r="A1" s="547" t="s">
        <v>20</v>
      </c>
      <c r="B1" s="548"/>
      <c r="C1" s="549"/>
      <c r="D1" s="549"/>
      <c r="E1" s="549"/>
      <c r="F1" s="550"/>
      <c r="G1" s="550"/>
      <c r="H1" s="550"/>
      <c r="I1" s="551"/>
    </row>
    <row r="2" spans="1:18" ht="12.75" customHeight="1" x14ac:dyDescent="0.2">
      <c r="A2" s="552"/>
      <c r="B2" s="553" t="s">
        <v>6</v>
      </c>
      <c r="C2" s="974" t="str">
        <f>Project!B4</f>
        <v>[Dit veld wordt door RVO ingevuld]</v>
      </c>
      <c r="D2" s="975"/>
      <c r="E2" s="975"/>
      <c r="F2" s="554"/>
      <c r="G2" s="554"/>
      <c r="H2" s="554"/>
      <c r="I2" s="555"/>
    </row>
    <row r="3" spans="1:18" ht="12.75" customHeight="1" thickBot="1" x14ac:dyDescent="0.25">
      <c r="A3" s="556"/>
      <c r="B3" s="557" t="s">
        <v>2</v>
      </c>
      <c r="C3" s="976">
        <f>Project!B7</f>
        <v>0</v>
      </c>
      <c r="D3" s="975"/>
      <c r="E3" s="975"/>
      <c r="F3" s="558"/>
      <c r="G3" s="558"/>
      <c r="H3" s="558"/>
      <c r="I3" s="559"/>
    </row>
    <row r="4" spans="1:18" s="133" customFormat="1" ht="12.75" customHeight="1" x14ac:dyDescent="0.2">
      <c r="A4" s="129"/>
      <c r="B4" s="130"/>
      <c r="C4" s="130"/>
      <c r="D4" s="131"/>
      <c r="E4" s="131"/>
      <c r="F4" s="131"/>
      <c r="G4" s="131"/>
      <c r="H4" s="131"/>
      <c r="I4" s="131"/>
      <c r="J4" s="131"/>
      <c r="K4" s="131"/>
      <c r="L4" s="131"/>
      <c r="M4" s="131"/>
      <c r="N4" s="131"/>
      <c r="O4" s="131"/>
      <c r="P4" s="131"/>
      <c r="Q4" s="131"/>
      <c r="R4" s="132"/>
    </row>
    <row r="5" spans="1:18" ht="12.75" customHeight="1" thickBot="1" x14ac:dyDescent="0.25">
      <c r="A5" s="134" t="s">
        <v>22</v>
      </c>
      <c r="B5" s="131"/>
      <c r="C5" s="135"/>
      <c r="D5" s="136"/>
      <c r="E5" s="131"/>
      <c r="F5" s="131"/>
      <c r="G5" s="131"/>
      <c r="H5" s="131"/>
      <c r="I5" s="131"/>
      <c r="J5" s="131"/>
      <c r="K5" s="131"/>
    </row>
    <row r="6" spans="1:18" ht="78" customHeight="1" thickBot="1" x14ac:dyDescent="0.25">
      <c r="A6" s="569" t="s">
        <v>1</v>
      </c>
      <c r="B6" s="569" t="str">
        <f>+Begroting!B187</f>
        <v>A. Investeringskosten</v>
      </c>
      <c r="C6" s="569" t="str">
        <f>+Begroting!B188</f>
        <v>C. Verstrekte of ontvangen steun / subsidie</v>
      </c>
      <c r="D6" s="569" t="str">
        <f>+Begroting!B189</f>
        <v xml:space="preserve">D. Maximale subsidie WIS </v>
      </c>
      <c r="E6" s="569" t="s">
        <v>533</v>
      </c>
      <c r="F6" s="570" t="str">
        <f>+Begroting!B192</f>
        <v>Nog te financieren</v>
      </c>
    </row>
    <row r="7" spans="1:18" ht="12.75" customHeight="1" thickBot="1" x14ac:dyDescent="0.25">
      <c r="A7" s="466">
        <f>Project!B16</f>
        <v>0</v>
      </c>
      <c r="B7" s="848">
        <f>Begroting!Q41+Begroting!F64+Begroting!F85+Begroting!F108+Begroting!Q133+Begroting!Q147</f>
        <v>0</v>
      </c>
      <c r="C7" s="848">
        <f>+Begroting!Q188</f>
        <v>0</v>
      </c>
      <c r="D7" s="849" t="e">
        <f>+Begroting!Q189</f>
        <v>#N/A</v>
      </c>
      <c r="E7" s="849">
        <f>Begroting!Q190</f>
        <v>0</v>
      </c>
      <c r="F7" s="850" t="e">
        <f>+B7-C7-D7-E7</f>
        <v>#N/A</v>
      </c>
      <c r="G7" s="133"/>
      <c r="H7" s="133"/>
      <c r="I7" s="133"/>
      <c r="J7" s="133"/>
      <c r="K7" s="133"/>
    </row>
    <row r="8" spans="1:18" ht="12.75" customHeight="1" x14ac:dyDescent="0.2">
      <c r="A8" s="137"/>
      <c r="B8" s="673"/>
      <c r="C8" s="673"/>
      <c r="D8" s="138"/>
      <c r="E8" s="138"/>
      <c r="F8" s="138"/>
      <c r="G8" s="139"/>
      <c r="H8" s="236"/>
      <c r="I8" s="141"/>
      <c r="J8" s="236"/>
      <c r="K8" s="141"/>
      <c r="L8" s="236"/>
      <c r="M8" s="141"/>
      <c r="N8" s="140"/>
      <c r="O8" s="141"/>
    </row>
    <row r="9" spans="1:18" ht="12.75" customHeight="1" thickBot="1" x14ac:dyDescent="0.25">
      <c r="A9" s="142" t="s">
        <v>24</v>
      </c>
      <c r="B9" s="138"/>
      <c r="C9" s="138"/>
      <c r="D9" s="138"/>
      <c r="E9" s="138"/>
      <c r="F9" s="138"/>
      <c r="G9" s="133"/>
      <c r="H9" s="133"/>
      <c r="N9" s="135"/>
    </row>
    <row r="10" spans="1:18" ht="47.1" customHeight="1" thickBot="1" x14ac:dyDescent="0.25">
      <c r="A10" s="571" t="s">
        <v>94</v>
      </c>
      <c r="B10" s="571" t="s">
        <v>46</v>
      </c>
      <c r="C10" s="977" t="s">
        <v>81</v>
      </c>
      <c r="D10" s="978"/>
      <c r="E10" s="962" t="s">
        <v>41</v>
      </c>
      <c r="F10" s="963"/>
      <c r="G10" s="963"/>
      <c r="H10" s="963"/>
      <c r="I10" s="964"/>
      <c r="N10" s="143"/>
      <c r="O10" s="143"/>
    </row>
    <row r="11" spans="1:18" ht="59.65" customHeight="1" x14ac:dyDescent="0.2">
      <c r="A11" s="674" t="str">
        <f>+C6</f>
        <v>C. Verstrekte of ontvangen steun / subsidie</v>
      </c>
      <c r="B11" s="467">
        <f>+C7</f>
        <v>0</v>
      </c>
      <c r="C11" s="960" t="s">
        <v>120</v>
      </c>
      <c r="D11" s="961"/>
      <c r="E11" s="965" t="s">
        <v>453</v>
      </c>
      <c r="F11" s="966"/>
      <c r="G11" s="966"/>
      <c r="H11" s="966"/>
      <c r="I11" s="967"/>
      <c r="N11" s="143"/>
      <c r="O11" s="143"/>
    </row>
    <row r="12" spans="1:18" ht="17.25" customHeight="1" x14ac:dyDescent="0.2">
      <c r="A12" s="674" t="str">
        <f>+D6</f>
        <v xml:space="preserve">D. Maximale subsidie WIS </v>
      </c>
      <c r="B12" s="675" t="e">
        <f>+D7</f>
        <v>#N/A</v>
      </c>
      <c r="C12" s="979"/>
      <c r="D12" s="980"/>
      <c r="E12" s="968"/>
      <c r="F12" s="969"/>
      <c r="G12" s="969"/>
      <c r="H12" s="969"/>
      <c r="I12" s="970"/>
      <c r="N12" s="143"/>
      <c r="O12" s="143"/>
    </row>
    <row r="13" spans="1:18" ht="29.25" customHeight="1" x14ac:dyDescent="0.2">
      <c r="A13" s="674" t="str">
        <f>+E6</f>
        <v>Ontvangen aansluit-bijdragen</v>
      </c>
      <c r="B13" s="467">
        <f>+E7</f>
        <v>0</v>
      </c>
      <c r="C13" s="979"/>
      <c r="D13" s="980"/>
      <c r="E13" s="968"/>
      <c r="F13" s="969"/>
      <c r="G13" s="969"/>
      <c r="H13" s="969"/>
      <c r="I13" s="970"/>
      <c r="N13" s="143"/>
      <c r="O13" s="143"/>
    </row>
    <row r="14" spans="1:18" ht="17.25" customHeight="1" x14ac:dyDescent="0.2">
      <c r="A14" s="476"/>
      <c r="B14" s="477"/>
      <c r="C14" s="846"/>
      <c r="D14" s="847"/>
      <c r="E14" s="968"/>
      <c r="F14" s="969"/>
      <c r="G14" s="969"/>
      <c r="H14" s="969"/>
      <c r="I14" s="970"/>
      <c r="N14" s="143"/>
      <c r="O14" s="143"/>
    </row>
    <row r="15" spans="1:18" ht="17.25" customHeight="1" x14ac:dyDescent="0.2">
      <c r="A15" s="476"/>
      <c r="B15" s="477"/>
      <c r="C15" s="846"/>
      <c r="D15" s="847"/>
      <c r="E15" s="968"/>
      <c r="F15" s="969"/>
      <c r="G15" s="969"/>
      <c r="H15" s="969"/>
      <c r="I15" s="970"/>
      <c r="N15" s="143"/>
      <c r="O15" s="143"/>
    </row>
    <row r="16" spans="1:18" ht="17.25" customHeight="1" x14ac:dyDescent="0.2">
      <c r="A16" s="476"/>
      <c r="B16" s="477"/>
      <c r="C16" s="846"/>
      <c r="D16" s="847"/>
      <c r="E16" s="968"/>
      <c r="F16" s="969"/>
      <c r="G16" s="969"/>
      <c r="H16" s="969"/>
      <c r="I16" s="970"/>
      <c r="N16" s="143"/>
      <c r="O16" s="143"/>
    </row>
    <row r="17" spans="1:18" ht="17.25" customHeight="1" x14ac:dyDescent="0.2">
      <c r="A17" s="476"/>
      <c r="B17" s="477"/>
      <c r="C17" s="846"/>
      <c r="D17" s="847"/>
      <c r="E17" s="968"/>
      <c r="F17" s="969"/>
      <c r="G17" s="969"/>
      <c r="H17" s="969"/>
      <c r="I17" s="970"/>
      <c r="N17" s="143"/>
      <c r="O17" s="143"/>
      <c r="P17" s="140"/>
      <c r="Q17" s="141"/>
      <c r="R17" s="144"/>
    </row>
    <row r="18" spans="1:18" ht="17.25" customHeight="1" thickBot="1" x14ac:dyDescent="0.25">
      <c r="A18" s="478"/>
      <c r="B18" s="479"/>
      <c r="C18" s="846"/>
      <c r="D18" s="847"/>
      <c r="E18" s="971"/>
      <c r="F18" s="972"/>
      <c r="G18" s="972"/>
      <c r="H18" s="972"/>
      <c r="I18" s="973"/>
      <c r="N18" s="143"/>
      <c r="O18" s="143"/>
      <c r="P18" s="135"/>
      <c r="Q18" s="141"/>
      <c r="R18" s="144"/>
    </row>
    <row r="19" spans="1:18" ht="12.75" customHeight="1" thickBot="1" x14ac:dyDescent="0.2">
      <c r="A19" s="468" t="s">
        <v>5</v>
      </c>
      <c r="B19" s="851" t="e">
        <f>SUM(B11:B18)</f>
        <v>#N/A</v>
      </c>
      <c r="C19" s="145" t="e">
        <f>IF(B19&lt;B7,"onderbouw de volledige investeringskosten","")</f>
        <v>#N/A</v>
      </c>
      <c r="D19" s="146"/>
      <c r="I19" s="135"/>
      <c r="J19" s="135"/>
      <c r="K19" s="135"/>
      <c r="L19" s="135"/>
      <c r="M19" s="135"/>
      <c r="N19" s="135"/>
      <c r="O19" s="141"/>
    </row>
    <row r="20" spans="1:18" s="133" customFormat="1" ht="12.75" customHeight="1" x14ac:dyDescent="0.15">
      <c r="A20" s="287"/>
      <c r="B20" s="288"/>
      <c r="C20" s="289"/>
      <c r="D20" s="290"/>
      <c r="I20" s="132"/>
      <c r="J20" s="132"/>
      <c r="K20" s="132"/>
      <c r="L20" s="132"/>
      <c r="M20" s="132"/>
      <c r="N20" s="132"/>
      <c r="O20" s="141"/>
    </row>
    <row r="21" spans="1:18" ht="12.75" customHeight="1" x14ac:dyDescent="0.2">
      <c r="A21" s="137"/>
      <c r="B21" s="141"/>
      <c r="C21" s="141"/>
      <c r="E21" s="133"/>
      <c r="F21" s="133"/>
      <c r="I21" s="135"/>
      <c r="J21" s="135"/>
      <c r="K21" s="135"/>
      <c r="L21" s="135"/>
      <c r="M21" s="135"/>
      <c r="N21" s="135"/>
      <c r="O21" s="141"/>
    </row>
    <row r="22" spans="1:18" s="189" customFormat="1" ht="14.25" x14ac:dyDescent="0.2">
      <c r="A22" s="187" t="s">
        <v>176</v>
      </c>
      <c r="B22" s="188"/>
      <c r="C22" s="188"/>
      <c r="D22" s="188"/>
      <c r="E22" s="188"/>
      <c r="F22" s="188"/>
      <c r="G22" s="188"/>
      <c r="H22" s="188"/>
      <c r="I22" s="188"/>
    </row>
    <row r="23" spans="1:18" ht="12.75" customHeight="1" x14ac:dyDescent="0.15">
      <c r="A23" s="676" t="s">
        <v>134</v>
      </c>
      <c r="B23" s="677"/>
      <c r="C23" s="677"/>
      <c r="D23" s="677"/>
      <c r="E23" s="677"/>
      <c r="F23" s="677"/>
      <c r="G23" s="677"/>
      <c r="H23" s="677"/>
      <c r="I23" s="677"/>
      <c r="J23" s="677"/>
      <c r="K23" s="677"/>
      <c r="L23" s="677"/>
      <c r="M23" s="677"/>
      <c r="N23" s="677"/>
      <c r="O23" s="677"/>
      <c r="P23" s="677"/>
      <c r="Q23" s="677"/>
    </row>
    <row r="24" spans="1:18" ht="11.25" customHeight="1" x14ac:dyDescent="0.15">
      <c r="A24" s="58" t="s">
        <v>135</v>
      </c>
      <c r="B24" s="677"/>
      <c r="C24" s="677"/>
      <c r="D24" s="677"/>
      <c r="E24" s="677"/>
      <c r="F24" s="677"/>
      <c r="G24" s="677"/>
      <c r="H24" s="677"/>
      <c r="I24" s="677"/>
      <c r="J24" s="677"/>
      <c r="K24" s="677"/>
      <c r="L24" s="677"/>
      <c r="M24" s="677"/>
      <c r="N24" s="677"/>
      <c r="O24" s="677"/>
      <c r="P24" s="677"/>
      <c r="Q24" s="677"/>
    </row>
    <row r="25" spans="1:18" ht="11.25" customHeight="1" x14ac:dyDescent="0.15">
      <c r="A25" s="58" t="s">
        <v>196</v>
      </c>
      <c r="B25" s="677"/>
      <c r="C25" s="677"/>
      <c r="D25" s="677"/>
      <c r="E25" s="677"/>
      <c r="F25" s="677"/>
      <c r="G25" s="677"/>
      <c r="H25" s="677"/>
      <c r="I25" s="677"/>
      <c r="J25" s="677"/>
      <c r="K25" s="677"/>
      <c r="L25" s="677"/>
      <c r="M25" s="677"/>
      <c r="N25" s="677"/>
      <c r="O25" s="677"/>
      <c r="P25" s="677"/>
      <c r="Q25" s="677"/>
    </row>
    <row r="26" spans="1:18" ht="11.25" customHeight="1" x14ac:dyDescent="0.15">
      <c r="A26" s="58"/>
      <c r="B26" s="677"/>
      <c r="C26" s="677"/>
      <c r="D26" s="677"/>
      <c r="E26" s="677"/>
      <c r="F26" s="677"/>
      <c r="G26" s="677"/>
      <c r="H26" s="677"/>
      <c r="I26" s="677"/>
      <c r="J26" s="677"/>
      <c r="K26" s="677"/>
      <c r="L26" s="677"/>
      <c r="M26" s="677"/>
      <c r="N26" s="677"/>
      <c r="O26" s="677"/>
      <c r="P26" s="677"/>
      <c r="Q26" s="677"/>
    </row>
    <row r="27" spans="1:18" ht="11.25" customHeight="1" x14ac:dyDescent="0.2">
      <c r="A27" s="186"/>
      <c r="B27" s="186"/>
      <c r="C27" s="186"/>
      <c r="D27" s="186"/>
      <c r="E27" s="186"/>
      <c r="F27" s="186"/>
      <c r="G27" s="186"/>
      <c r="H27" s="186"/>
      <c r="I27" s="186"/>
    </row>
  </sheetData>
  <sheetProtection algorithmName="SHA-512" hashValue="i5byJlbTBnWYeRzLnX5qX+ZitkR8+7Uaal4u7fWWahEXs1MsfKgUC++P2fOEDQhJNOeP6YsmPTtkJHU1BqsedA==" saltValue="Kamy0G+xu1a/HvmNVNeCHQ==" spinCount="100000" sheet="1" objects="1" scenarios="1"/>
  <dataConsolidate/>
  <mergeCells count="8">
    <mergeCell ref="C11:D11"/>
    <mergeCell ref="E10:I10"/>
    <mergeCell ref="E11:I18"/>
    <mergeCell ref="C2:E2"/>
    <mergeCell ref="C3:E3"/>
    <mergeCell ref="C10:D10"/>
    <mergeCell ref="C12:D12"/>
    <mergeCell ref="C13:D13"/>
  </mergeCells>
  <phoneticPr fontId="6" type="noConversion"/>
  <pageMargins left="0.19685039370078741" right="0.19685039370078741" top="0.39370078740157483" bottom="0.39370078740157483" header="0.51181102362204722" footer="0.51181102362204722"/>
  <pageSetup paperSize="9" scale="80" orientation="landscape" r:id="rId1"/>
  <headerFooter alignWithMargins="0"/>
  <ignoredErrors>
    <ignoredError sqref="C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D2BAB-00D2-488A-A508-88CCEDE0A555}">
  <sheetPr codeName="Sheet6">
    <tabColor rgb="FF00B0F0"/>
  </sheetPr>
  <dimension ref="A1:BK184"/>
  <sheetViews>
    <sheetView showGridLines="0" zoomScaleNormal="100" workbookViewId="0">
      <selection activeCell="O15" sqref="O15"/>
    </sheetView>
  </sheetViews>
  <sheetFormatPr defaultColWidth="0" defaultRowHeight="15" zeroHeight="1" x14ac:dyDescent="0.2"/>
  <cols>
    <col min="1" max="4" width="1.5703125" style="326" customWidth="1"/>
    <col min="5" max="5" width="56" style="326" customWidth="1"/>
    <col min="6" max="6" width="17.28515625" style="326" customWidth="1"/>
    <col min="7" max="7" width="21" style="326" customWidth="1"/>
    <col min="8" max="11" width="14.5703125" style="326" customWidth="1"/>
    <col min="12" max="13" width="12.5703125" style="326" customWidth="1"/>
    <col min="14" max="14" width="13.7109375" style="326" customWidth="1"/>
    <col min="15" max="15" width="17.28515625" style="326" customWidth="1"/>
    <col min="16" max="26" width="12.5703125" style="326" customWidth="1"/>
    <col min="27" max="44" width="12.5703125" style="639" customWidth="1"/>
    <col min="45" max="63" width="8.5703125" style="639" customWidth="1"/>
    <col min="64" max="16384" width="0" style="326" hidden="1"/>
  </cols>
  <sheetData>
    <row r="1" spans="1:63" x14ac:dyDescent="0.2"/>
    <row r="2" spans="1:63" ht="23.65" customHeight="1" x14ac:dyDescent="0.2">
      <c r="A2" s="368" t="s">
        <v>516</v>
      </c>
      <c r="B2" s="368"/>
      <c r="K2" s="368"/>
    </row>
    <row r="3" spans="1:63" x14ac:dyDescent="0.2">
      <c r="B3" s="638"/>
    </row>
    <row r="4" spans="1:63" s="630" customFormat="1" x14ac:dyDescent="0.2">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row>
    <row r="5" spans="1:63" x14ac:dyDescent="0.2">
      <c r="F5" s="630"/>
      <c r="G5" s="630"/>
    </row>
    <row r="6" spans="1:63" x14ac:dyDescent="0.2">
      <c r="F6" s="640"/>
      <c r="G6" s="640"/>
    </row>
    <row r="7" spans="1:63" x14ac:dyDescent="0.2">
      <c r="F7" s="640"/>
    </row>
    <row r="8" spans="1:63" x14ac:dyDescent="0.2">
      <c r="F8" s="640"/>
      <c r="H8" s="424"/>
    </row>
    <row r="9" spans="1:63" x14ac:dyDescent="0.2">
      <c r="E9" s="641"/>
      <c r="F9" s="642"/>
      <c r="G9" s="640"/>
      <c r="H9" s="424"/>
    </row>
    <row r="10" spans="1:63" x14ac:dyDescent="0.2">
      <c r="E10" s="641"/>
      <c r="F10" s="640"/>
      <c r="H10" s="424"/>
    </row>
    <row r="11" spans="1:63" x14ac:dyDescent="0.2"/>
    <row r="12" spans="1:63" x14ac:dyDescent="0.2"/>
    <row r="13" spans="1:63" x14ac:dyDescent="0.2">
      <c r="E13" s="641"/>
      <c r="F13" s="643"/>
      <c r="G13" s="640"/>
    </row>
    <row r="14" spans="1:63" x14ac:dyDescent="0.2"/>
    <row r="15" spans="1:63" x14ac:dyDescent="0.2">
      <c r="E15" s="630"/>
      <c r="G15" s="644"/>
    </row>
    <row r="16" spans="1:63" x14ac:dyDescent="0.2">
      <c r="E16" s="641"/>
      <c r="F16" s="641"/>
      <c r="G16" s="645"/>
    </row>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3" x14ac:dyDescent="0.2"/>
    <row r="64"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24" x14ac:dyDescent="0.2"/>
    <row r="129" x14ac:dyDescent="0.2"/>
    <row r="132" x14ac:dyDescent="0.2"/>
    <row r="135" x14ac:dyDescent="0.2"/>
    <row r="145" x14ac:dyDescent="0.2"/>
    <row r="151" x14ac:dyDescent="0.2"/>
    <row r="171" x14ac:dyDescent="0.2"/>
    <row r="174" x14ac:dyDescent="0.2"/>
    <row r="177" x14ac:dyDescent="0.2"/>
    <row r="178" x14ac:dyDescent="0.2"/>
    <row r="179" x14ac:dyDescent="0.2"/>
    <row r="180" x14ac:dyDescent="0.2"/>
    <row r="181" x14ac:dyDescent="0.2"/>
    <row r="184" x14ac:dyDescent="0.2"/>
  </sheetData>
  <sheetProtection algorithmName="SHA-512" hashValue="9409CTp38854BYVh1hvZ9e/jDeofd9FIEPnzTFcmg60As0buWI3cV9wdXD87B84WnEX7191O5bbJE52IRvkTag==" saltValue="O5qvGdeW5dSjeBzwXuNtPg==" spinCount="100000" sheet="1" objects="1" scenarios="1"/>
  <pageMargins left="0.7" right="0.7" top="0.75" bottom="0.75" header="0.3" footer="0.3"/>
  <pageSetup paperSize="9" orientation="portrait" r:id="rId1"/>
  <drawing r:id="rId2"/>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27</vt:i4>
      </vt:variant>
    </vt:vector>
  </HeadingPairs>
  <TitlesOfParts>
    <vt:vector size="40" baseType="lpstr">
      <vt:lpstr>Voor u begint</vt:lpstr>
      <vt:lpstr>Toelichting begroting </vt:lpstr>
      <vt:lpstr>Project</vt:lpstr>
      <vt:lpstr>Begroting</vt:lpstr>
      <vt:lpstr>Mijlpalenbegroting</vt:lpstr>
      <vt:lpstr>ORT uitgangspunten</vt:lpstr>
      <vt:lpstr>ORT aansluitingen</vt:lpstr>
      <vt:lpstr>Financiering</vt:lpstr>
      <vt:lpstr>Grafieken</vt:lpstr>
      <vt:lpstr>ORT Berekening</vt:lpstr>
      <vt:lpstr>Monitoring</vt:lpstr>
      <vt:lpstr>Lijsten</vt:lpstr>
      <vt:lpstr>ORT_Lijsten</vt:lpstr>
      <vt:lpstr>Begroting!Afdrukbereik</vt:lpstr>
      <vt:lpstr>Financiering!Afdrukbereik</vt:lpstr>
      <vt:lpstr>Mijlpalenbegroting!Afdrukbereik</vt:lpstr>
      <vt:lpstr>'ORT aansluitingen'!Afdrukbereik</vt:lpstr>
      <vt:lpstr>'ORT uitgangspunten'!Afdrukbereik</vt:lpstr>
      <vt:lpstr>Project!Afdrukbereik</vt:lpstr>
      <vt:lpstr>'Toelichting begroting '!Afdrukbereik</vt:lpstr>
      <vt:lpstr>'Voor u begint'!Afdrukbereik</vt:lpstr>
      <vt:lpstr>Begroting!Afdruktitels</vt:lpstr>
      <vt:lpstr>BTW</vt:lpstr>
      <vt:lpstr>Controleregel</vt:lpstr>
      <vt:lpstr>Controleregel_Cumulatief</vt:lpstr>
      <vt:lpstr>Df_As</vt:lpstr>
      <vt:lpstr>Df_Gea</vt:lpstr>
      <vt:lpstr>Df_Gra</vt:lpstr>
      <vt:lpstr>Df_Os</vt:lpstr>
      <vt:lpstr>Df_Pw</vt:lpstr>
      <vt:lpstr>Df_Sw</vt:lpstr>
      <vt:lpstr>Eind_Groeperen</vt:lpstr>
      <vt:lpstr>Einddatum</vt:lpstr>
      <vt:lpstr>Fase</vt:lpstr>
      <vt:lpstr>IRR</vt:lpstr>
      <vt:lpstr>Kolom_Startjaar</vt:lpstr>
      <vt:lpstr>Organisatietype</vt:lpstr>
      <vt:lpstr>projectrendement</vt:lpstr>
      <vt:lpstr>SrtWoning</vt:lpstr>
      <vt:lpstr>Startdatum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Exploitatieberekening WIS</dc:title>
  <dc:creator>Rijksdienst voor Ondernemend Nederland</dc:creator>
  <cp:lastModifiedBy>Rijksdienst voor Ondernemend Nederland</cp:lastModifiedBy>
  <cp:lastPrinted>2023-04-12T14:28:05Z</cp:lastPrinted>
  <dcterms:created xsi:type="dcterms:W3CDTF">2010-05-21T06:27:07Z</dcterms:created>
  <dcterms:modified xsi:type="dcterms:W3CDTF">2023-12-01T10:10:20Z</dcterms:modified>
</cp:coreProperties>
</file>