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
    </mc:Choice>
  </mc:AlternateContent>
  <xr:revisionPtr revIDLastSave="0" documentId="8_{CD135BD7-EA68-4D20-A47B-42142B7F2A8D}" xr6:coauthVersionLast="47" xr6:coauthVersionMax="47" xr10:uidLastSave="{00000000-0000-0000-0000-000000000000}"/>
  <workbookProtection workbookAlgorithmName="SHA-512" workbookHashValue="aciAWAUFw1wOWcKH0sd36cjZG6f2jEi7agcNmck7bzHXiIM+fIrqQgbZslhGq/VyIzNu59gxcW1IAx0ZDeo83g==" workbookSaltValue="LZAoHM1RseIZl0hpdFJ+2A==" workbookSpinCount="100000" lockStructure="1"/>
  <bookViews>
    <workbookView xWindow="2730" yWindow="2730" windowWidth="38700" windowHeight="15435" tabRatio="848" xr2:uid="{FEB83FE9-37A0-456F-83DE-888987527C12}"/>
  </bookViews>
  <sheets>
    <sheet name="Toelichting Investeringsdeel" sheetId="9" r:id="rId1"/>
    <sheet name="Proj.gegevens_invest.begroting" sheetId="10" r:id="rId2"/>
    <sheet name="Mijlpalenbegroting" sheetId="11" r:id="rId3"/>
    <sheet name="Toelichting Exploitatiedeel" sheetId="1" r:id="rId4"/>
    <sheet name="Financieringsplan" sheetId="2" r:id="rId5"/>
    <sheet name="Productie_en_afzet" sheetId="3" r:id="rId6"/>
    <sheet name="Exploitatieberekening" sheetId="4" r:id="rId7"/>
    <sheet name="Overzicht bijlagen" sheetId="5" r:id="rId8"/>
    <sheet name="Hulpblad_categorieën_parameters" sheetId="6" state="hidden" r:id="rId9"/>
    <sheet name="Hulpblad_overig" sheetId="7" state="hidden" r:id="rId10"/>
    <sheet name="Alternat.rendementsberekening" sheetId="8" state="hidden" r:id="rId11"/>
  </sheets>
  <externalReferences>
    <externalReference r:id="rId12"/>
  </externalReferences>
  <definedNames>
    <definedName name="_xlnm.Print_Area" localSheetId="2">Mijlpalenbegroting!$B$1:$O$44</definedName>
    <definedName name="_xlnm.Print_Area" localSheetId="1">'Proj.gegevens_invest.begroting'!$B$4:$G$195</definedName>
    <definedName name="_xlnm.Print_Area" localSheetId="0">'Toelichting Investeringsdeel'!$A$1:$R$74</definedName>
    <definedName name="deelnemers">#REF!</definedName>
    <definedName name="Einddatum">#REF!</definedName>
    <definedName name="Foundations">#REF!</definedName>
    <definedName name="Naamregeling">#REF!</definedName>
    <definedName name="Organisatietype">#REF!</definedName>
    <definedName name="Soort_bedrijf">'Proj.gegevens_invest.begroting'!$J$6:$J$39</definedName>
    <definedName name="Startdatum">#REF!</definedName>
    <definedName name="Type_onderneming">[1]Investeringsbegroting!$J$3:$J$5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3" i="4" l="1"/>
  <c r="AB43" i="4"/>
  <c r="AA43" i="4"/>
  <c r="Z43" i="4"/>
  <c r="Y43" i="4"/>
  <c r="X43" i="4"/>
  <c r="W43" i="4"/>
  <c r="AC41" i="4"/>
  <c r="AB41" i="4"/>
  <c r="AA41" i="4"/>
  <c r="Z41" i="4"/>
  <c r="Y41" i="4"/>
  <c r="X41" i="4"/>
  <c r="W41" i="4"/>
  <c r="AC40" i="4"/>
  <c r="AB40" i="4"/>
  <c r="AA40" i="4"/>
  <c r="Z40" i="4"/>
  <c r="Y40" i="4"/>
  <c r="X40" i="4"/>
  <c r="W40" i="4"/>
  <c r="V43" i="4"/>
  <c r="V41" i="4"/>
  <c r="V40" i="4"/>
  <c r="G167" i="10"/>
  <c r="A13" i="2"/>
  <c r="H18" i="11"/>
  <c r="I18" i="11"/>
  <c r="J18" i="11"/>
  <c r="K18" i="11"/>
  <c r="L18" i="11"/>
  <c r="C18" i="11"/>
  <c r="D37" i="10"/>
  <c r="I37" i="10" s="1"/>
  <c r="A49" i="2" l="1"/>
  <c r="Q62" i="4"/>
  <c r="R62" i="4" s="1"/>
  <c r="S62" i="4" s="1"/>
  <c r="T62" i="4" s="1"/>
  <c r="U62" i="4" s="1"/>
  <c r="V62" i="4" s="1"/>
  <c r="W62" i="4" s="1"/>
  <c r="X62" i="4" s="1"/>
  <c r="Y62" i="4" s="1"/>
  <c r="Z62" i="4" s="1"/>
  <c r="AA62" i="4" s="1"/>
  <c r="AB62" i="4" s="1"/>
  <c r="AC62" i="4" s="1"/>
  <c r="Q59" i="4"/>
  <c r="R59" i="4" s="1"/>
  <c r="S59" i="4" s="1"/>
  <c r="T59" i="4" s="1"/>
  <c r="U59" i="4" s="1"/>
  <c r="V59" i="4" s="1"/>
  <c r="W59" i="4" s="1"/>
  <c r="X59" i="4" s="1"/>
  <c r="Y59" i="4" s="1"/>
  <c r="Z59" i="4" s="1"/>
  <c r="AA59" i="4" s="1"/>
  <c r="AB59" i="4" s="1"/>
  <c r="AC59" i="4" s="1"/>
  <c r="P62" i="4"/>
  <c r="P61" i="4"/>
  <c r="Q61" i="4" s="1"/>
  <c r="R61" i="4" s="1"/>
  <c r="S61" i="4" s="1"/>
  <c r="T61" i="4" s="1"/>
  <c r="U61" i="4" s="1"/>
  <c r="V61" i="4" s="1"/>
  <c r="W61" i="4" s="1"/>
  <c r="X61" i="4" s="1"/>
  <c r="Y61" i="4" s="1"/>
  <c r="Z61" i="4" s="1"/>
  <c r="AA61" i="4" s="1"/>
  <c r="AB61" i="4" s="1"/>
  <c r="AC61" i="4" s="1"/>
  <c r="P60" i="4"/>
  <c r="Q60" i="4" s="1"/>
  <c r="R60" i="4" s="1"/>
  <c r="S60" i="4" s="1"/>
  <c r="T60" i="4" s="1"/>
  <c r="U60" i="4" s="1"/>
  <c r="V60" i="4" s="1"/>
  <c r="W60" i="4" s="1"/>
  <c r="X60" i="4" s="1"/>
  <c r="Y60" i="4" s="1"/>
  <c r="Z60" i="4" s="1"/>
  <c r="AA60" i="4" s="1"/>
  <c r="AB60" i="4" s="1"/>
  <c r="AC60" i="4" s="1"/>
  <c r="P59" i="4"/>
  <c r="P83" i="4"/>
  <c r="Q83" i="4" s="1"/>
  <c r="R83" i="4" s="1"/>
  <c r="S83" i="4" s="1"/>
  <c r="T83" i="4" s="1"/>
  <c r="U83" i="4" s="1"/>
  <c r="V83" i="4" s="1"/>
  <c r="W83" i="4" s="1"/>
  <c r="X83" i="4" s="1"/>
  <c r="Y83" i="4" s="1"/>
  <c r="Z83" i="4" s="1"/>
  <c r="AA83" i="4" s="1"/>
  <c r="AB83" i="4" s="1"/>
  <c r="AC83" i="4" s="1"/>
  <c r="P82" i="4"/>
  <c r="Q82" i="4" s="1"/>
  <c r="R82" i="4" s="1"/>
  <c r="S82" i="4" s="1"/>
  <c r="T82" i="4" s="1"/>
  <c r="U82" i="4" s="1"/>
  <c r="V82" i="4" s="1"/>
  <c r="W82" i="4" s="1"/>
  <c r="X82" i="4" s="1"/>
  <c r="Y82" i="4" s="1"/>
  <c r="Z82" i="4" s="1"/>
  <c r="AA82" i="4" s="1"/>
  <c r="AB82" i="4" s="1"/>
  <c r="AC82" i="4" s="1"/>
  <c r="P81" i="4"/>
  <c r="Q81" i="4" s="1"/>
  <c r="R81" i="4" s="1"/>
  <c r="S81" i="4" s="1"/>
  <c r="T81" i="4" s="1"/>
  <c r="U81" i="4" s="1"/>
  <c r="V81" i="4" s="1"/>
  <c r="W81" i="4" s="1"/>
  <c r="X81" i="4" s="1"/>
  <c r="Y81" i="4" s="1"/>
  <c r="Z81" i="4" s="1"/>
  <c r="AA81" i="4" s="1"/>
  <c r="AB81" i="4" s="1"/>
  <c r="AC81" i="4" s="1"/>
  <c r="P80" i="4"/>
  <c r="Q80" i="4" s="1"/>
  <c r="R80" i="4" s="1"/>
  <c r="S80" i="4" s="1"/>
  <c r="T80" i="4" s="1"/>
  <c r="U80" i="4" s="1"/>
  <c r="V80" i="4" s="1"/>
  <c r="W80" i="4" s="1"/>
  <c r="X80" i="4" s="1"/>
  <c r="Y80" i="4" s="1"/>
  <c r="Z80" i="4" s="1"/>
  <c r="AA80" i="4" s="1"/>
  <c r="AB80" i="4" s="1"/>
  <c r="AC80" i="4" s="1"/>
  <c r="P79" i="4"/>
  <c r="Q79" i="4" s="1"/>
  <c r="R79" i="4" s="1"/>
  <c r="S79" i="4" s="1"/>
  <c r="T79" i="4" s="1"/>
  <c r="U79" i="4" s="1"/>
  <c r="V79" i="4" s="1"/>
  <c r="W79" i="4" s="1"/>
  <c r="X79" i="4" s="1"/>
  <c r="Y79" i="4" s="1"/>
  <c r="Z79" i="4" s="1"/>
  <c r="AA79" i="4" s="1"/>
  <c r="AB79" i="4" s="1"/>
  <c r="AC79" i="4" s="1"/>
  <c r="P78" i="4"/>
  <c r="Q78" i="4" s="1"/>
  <c r="R78" i="4" s="1"/>
  <c r="S78" i="4" s="1"/>
  <c r="T78" i="4" s="1"/>
  <c r="U78" i="4" s="1"/>
  <c r="V78" i="4" s="1"/>
  <c r="W78" i="4" s="1"/>
  <c r="X78" i="4" s="1"/>
  <c r="Y78" i="4" s="1"/>
  <c r="Z78" i="4" s="1"/>
  <c r="AA78" i="4" s="1"/>
  <c r="AB78" i="4" s="1"/>
  <c r="AC78" i="4" s="1"/>
  <c r="P77" i="4"/>
  <c r="Q77" i="4" s="1"/>
  <c r="R77" i="4" s="1"/>
  <c r="S77" i="4" s="1"/>
  <c r="T77" i="4" s="1"/>
  <c r="U77" i="4" s="1"/>
  <c r="V77" i="4" s="1"/>
  <c r="W77" i="4" s="1"/>
  <c r="X77" i="4" s="1"/>
  <c r="Y77" i="4" s="1"/>
  <c r="Z77" i="4" s="1"/>
  <c r="AA77" i="4" s="1"/>
  <c r="AB77" i="4" s="1"/>
  <c r="AC77" i="4" s="1"/>
  <c r="P76" i="4"/>
  <c r="Q76" i="4" s="1"/>
  <c r="R76" i="4" s="1"/>
  <c r="S76" i="4" s="1"/>
  <c r="T76" i="4" s="1"/>
  <c r="U76" i="4" s="1"/>
  <c r="V76" i="4" s="1"/>
  <c r="W76" i="4" s="1"/>
  <c r="X76" i="4" s="1"/>
  <c r="Y76" i="4" s="1"/>
  <c r="Z76" i="4" s="1"/>
  <c r="AA76" i="4" s="1"/>
  <c r="AB76" i="4" s="1"/>
  <c r="AC76" i="4" s="1"/>
  <c r="P75" i="4"/>
  <c r="Q75" i="4" s="1"/>
  <c r="R75" i="4" s="1"/>
  <c r="S75" i="4" s="1"/>
  <c r="T75" i="4" s="1"/>
  <c r="U75" i="4" s="1"/>
  <c r="V75" i="4" s="1"/>
  <c r="W75" i="4" s="1"/>
  <c r="X75" i="4" s="1"/>
  <c r="Y75" i="4" s="1"/>
  <c r="Z75" i="4" s="1"/>
  <c r="AA75" i="4" s="1"/>
  <c r="AB75" i="4" s="1"/>
  <c r="AC75" i="4" s="1"/>
  <c r="P74" i="4"/>
  <c r="Q74" i="4" s="1"/>
  <c r="R74" i="4" s="1"/>
  <c r="S74" i="4" s="1"/>
  <c r="T74" i="4" s="1"/>
  <c r="U74" i="4" s="1"/>
  <c r="V74" i="4" s="1"/>
  <c r="W74" i="4" s="1"/>
  <c r="X74" i="4" s="1"/>
  <c r="Y74" i="4" s="1"/>
  <c r="Z74" i="4" s="1"/>
  <c r="AA74" i="4" s="1"/>
  <c r="AB74" i="4" s="1"/>
  <c r="AC74" i="4" s="1"/>
  <c r="P73" i="4"/>
  <c r="Q73" i="4" s="1"/>
  <c r="R73" i="4" s="1"/>
  <c r="S73" i="4" s="1"/>
  <c r="T73" i="4" s="1"/>
  <c r="U73" i="4" s="1"/>
  <c r="V73" i="4" s="1"/>
  <c r="W73" i="4" s="1"/>
  <c r="X73" i="4" s="1"/>
  <c r="Y73" i="4" s="1"/>
  <c r="Z73" i="4" s="1"/>
  <c r="AA73" i="4" s="1"/>
  <c r="AB73" i="4" s="1"/>
  <c r="AC73" i="4" s="1"/>
  <c r="P72" i="4"/>
  <c r="Q72" i="4" s="1"/>
  <c r="R72" i="4" s="1"/>
  <c r="S72" i="4" s="1"/>
  <c r="T72" i="4" s="1"/>
  <c r="U72" i="4" s="1"/>
  <c r="V72" i="4" s="1"/>
  <c r="W72" i="4" s="1"/>
  <c r="X72" i="4" s="1"/>
  <c r="Y72" i="4" s="1"/>
  <c r="Z72" i="4" s="1"/>
  <c r="AA72" i="4" s="1"/>
  <c r="AB72" i="4" s="1"/>
  <c r="AC72" i="4" s="1"/>
  <c r="P71" i="4"/>
  <c r="Q71" i="4" s="1"/>
  <c r="R71" i="4" s="1"/>
  <c r="S71" i="4" s="1"/>
  <c r="T71" i="4" s="1"/>
  <c r="U71" i="4" s="1"/>
  <c r="V71" i="4" s="1"/>
  <c r="W71" i="4" s="1"/>
  <c r="X71" i="4" s="1"/>
  <c r="Y71" i="4" s="1"/>
  <c r="Z71" i="4" s="1"/>
  <c r="AA71" i="4" s="1"/>
  <c r="AB71" i="4" s="1"/>
  <c r="AC71" i="4" s="1"/>
  <c r="P70" i="4"/>
  <c r="Q70" i="4" s="1"/>
  <c r="R70" i="4" s="1"/>
  <c r="S70" i="4" s="1"/>
  <c r="T70" i="4" s="1"/>
  <c r="U70" i="4" s="1"/>
  <c r="V70" i="4" s="1"/>
  <c r="W70" i="4" s="1"/>
  <c r="X70" i="4" s="1"/>
  <c r="Y70" i="4" s="1"/>
  <c r="Z70" i="4" s="1"/>
  <c r="AA70" i="4" s="1"/>
  <c r="AB70" i="4" s="1"/>
  <c r="AC70" i="4" s="1"/>
  <c r="P69" i="4"/>
  <c r="Q69" i="4" s="1"/>
  <c r="R69" i="4" s="1"/>
  <c r="S69" i="4" s="1"/>
  <c r="T69" i="4" s="1"/>
  <c r="U69" i="4" s="1"/>
  <c r="V69" i="4" s="1"/>
  <c r="W69" i="4" s="1"/>
  <c r="X69" i="4" s="1"/>
  <c r="Y69" i="4" s="1"/>
  <c r="Z69" i="4" s="1"/>
  <c r="AA69" i="4" s="1"/>
  <c r="AB69" i="4" s="1"/>
  <c r="AC69" i="4" s="1"/>
  <c r="O83" i="4"/>
  <c r="O82" i="4"/>
  <c r="O81" i="4"/>
  <c r="O80" i="4"/>
  <c r="O78" i="4"/>
  <c r="O76" i="4"/>
  <c r="O75" i="4"/>
  <c r="O74" i="4"/>
  <c r="O72" i="4"/>
  <c r="A47" i="2"/>
  <c r="N22" i="4"/>
  <c r="C7" i="6"/>
  <c r="C2" i="11"/>
  <c r="G6" i="10"/>
  <c r="E41" i="4"/>
  <c r="E40" i="4"/>
  <c r="C19" i="3"/>
  <c r="C17" i="3"/>
  <c r="D31" i="10"/>
  <c r="C20" i="3" s="1"/>
  <c r="D26" i="10"/>
  <c r="E43" i="4" l="1"/>
  <c r="C18" i="3"/>
  <c r="I35" i="10"/>
  <c r="B11" i="4"/>
  <c r="D21" i="10"/>
  <c r="B16" i="3" s="1"/>
  <c r="B15" i="3"/>
  <c r="B7" i="2"/>
  <c r="A32" i="4" l="1"/>
  <c r="AC84" i="4"/>
  <c r="AB84" i="4"/>
  <c r="AA84" i="4"/>
  <c r="Z84" i="4"/>
  <c r="Y84" i="4"/>
  <c r="X84" i="4"/>
  <c r="W84" i="4"/>
  <c r="V84" i="4"/>
  <c r="AC63" i="4"/>
  <c r="AB63" i="4"/>
  <c r="AA63" i="4"/>
  <c r="Z63" i="4"/>
  <c r="Y63" i="4"/>
  <c r="X63" i="4"/>
  <c r="W63" i="4"/>
  <c r="V63" i="4"/>
  <c r="AC34" i="4"/>
  <c r="AC103" i="4" s="1"/>
  <c r="AB34" i="4"/>
  <c r="AB103" i="4" s="1"/>
  <c r="AA34" i="4"/>
  <c r="AA103" i="4" s="1"/>
  <c r="Z34" i="4"/>
  <c r="Z103" i="4" s="1"/>
  <c r="Y34" i="4"/>
  <c r="Y103" i="4" s="1"/>
  <c r="X34" i="4"/>
  <c r="X103" i="4" s="1"/>
  <c r="W34" i="4"/>
  <c r="V34" i="4"/>
  <c r="B87" i="4"/>
  <c r="B10" i="4" l="1"/>
  <c r="F6" i="10"/>
  <c r="E51" i="4"/>
  <c r="G52" i="2" l="1"/>
  <c r="H52" i="2" l="1"/>
  <c r="G73" i="2"/>
  <c r="B64" i="7"/>
  <c r="B65" i="7"/>
  <c r="B66" i="7"/>
  <c r="B4" i="3"/>
  <c r="B6" i="3"/>
  <c r="B30" i="2"/>
  <c r="B20" i="4"/>
  <c r="B19" i="4"/>
  <c r="B18" i="4"/>
  <c r="B17" i="4"/>
  <c r="B16" i="4"/>
  <c r="B15" i="4"/>
  <c r="D18" i="11"/>
  <c r="O63" i="4"/>
  <c r="E39" i="4"/>
  <c r="O39" i="4" s="1"/>
  <c r="P39" i="4" s="1"/>
  <c r="Q39" i="4" s="1"/>
  <c r="R39" i="4" s="1"/>
  <c r="S39" i="4" s="1"/>
  <c r="T39" i="4" s="1"/>
  <c r="U39" i="4" s="1"/>
  <c r="B9" i="4"/>
  <c r="B13" i="3"/>
  <c r="B21" i="3" s="1"/>
  <c r="B7" i="4" l="1"/>
  <c r="A5" i="5"/>
  <c r="N84" i="4"/>
  <c r="O84" i="4"/>
  <c r="E38" i="4"/>
  <c r="B29" i="3"/>
  <c r="E48" i="4" s="1"/>
  <c r="P84" i="4" l="1"/>
  <c r="B12" i="3"/>
  <c r="B11" i="3"/>
  <c r="Q84" i="4" l="1"/>
  <c r="D12" i="10"/>
  <c r="D16" i="10"/>
  <c r="D22" i="10" l="1"/>
  <c r="B25" i="3" s="1"/>
  <c r="E42" i="4"/>
  <c r="O42" i="4" s="1"/>
  <c r="P42" i="4" s="1"/>
  <c r="Q42" i="4" s="1"/>
  <c r="R42" i="4" s="1"/>
  <c r="S42" i="4" s="1"/>
  <c r="T42" i="4" s="1"/>
  <c r="U42" i="4" s="1"/>
  <c r="V42" i="4" s="1"/>
  <c r="W42" i="4" s="1"/>
  <c r="X42" i="4" s="1"/>
  <c r="Y42" i="4" s="1"/>
  <c r="Z42" i="4" s="1"/>
  <c r="AA42" i="4" s="1"/>
  <c r="AB42" i="4" s="1"/>
  <c r="AC42" i="4" s="1"/>
  <c r="D32" i="10"/>
  <c r="C27" i="3" s="1"/>
  <c r="D27" i="10"/>
  <c r="C26" i="3" s="1"/>
  <c r="B14" i="3"/>
  <c r="D17" i="10"/>
  <c r="R84" i="4"/>
  <c r="B24" i="3"/>
  <c r="S84" i="4" l="1"/>
  <c r="B22" i="3"/>
  <c r="F144" i="10"/>
  <c r="G39" i="2"/>
  <c r="G18" i="11"/>
  <c r="F18" i="11"/>
  <c r="E18" i="11"/>
  <c r="L17" i="11"/>
  <c r="K17" i="11"/>
  <c r="J17" i="11"/>
  <c r="I17" i="11"/>
  <c r="H17" i="11"/>
  <c r="G17" i="11"/>
  <c r="F17" i="11"/>
  <c r="E17" i="11"/>
  <c r="T84" i="4" l="1"/>
  <c r="E144" i="10"/>
  <c r="G144" i="10" s="1"/>
  <c r="U84" i="4" l="1"/>
  <c r="G154" i="10"/>
  <c r="G58" i="10"/>
  <c r="G79" i="10"/>
  <c r="N16" i="4" s="1"/>
  <c r="M16" i="11"/>
  <c r="G168" i="10"/>
  <c r="G146" i="10"/>
  <c r="G150" i="10" s="1"/>
  <c r="G133" i="10"/>
  <c r="G123" i="10"/>
  <c r="G108" i="10"/>
  <c r="G95" i="10"/>
  <c r="N19" i="4" l="1"/>
  <c r="H34" i="2"/>
  <c r="H31" i="2"/>
  <c r="N17" i="4"/>
  <c r="H32" i="2"/>
  <c r="N20" i="4"/>
  <c r="H35" i="2"/>
  <c r="A64" i="5" s="1"/>
  <c r="N18" i="4"/>
  <c r="H33" i="2"/>
  <c r="N15" i="4"/>
  <c r="N21" i="4" s="1"/>
  <c r="N23" i="4" s="1"/>
  <c r="G135" i="10"/>
  <c r="N16" i="11" s="1"/>
  <c r="G149" i="10" l="1"/>
  <c r="B13" i="11" s="1"/>
  <c r="G30" i="2"/>
  <c r="G38" i="2" s="1"/>
  <c r="G40" i="2" s="1"/>
  <c r="G74" i="2" s="1"/>
  <c r="G166" i="10"/>
  <c r="G169" i="10" s="1"/>
  <c r="A78" i="2"/>
  <c r="A76" i="2"/>
  <c r="A74" i="2"/>
  <c r="A73" i="2"/>
  <c r="A67" i="2"/>
  <c r="A50" i="2"/>
  <c r="A56" i="2"/>
  <c r="A54" i="2"/>
  <c r="A44" i="2"/>
  <c r="A43" i="2"/>
  <c r="A10" i="2"/>
  <c r="A95" i="4"/>
  <c r="A94" i="4"/>
  <c r="A90" i="2"/>
  <c r="A89" i="2"/>
  <c r="E13" i="2"/>
  <c r="A12" i="2"/>
  <c r="A11" i="2"/>
  <c r="B6" i="4"/>
  <c r="A93" i="2"/>
  <c r="A92" i="2"/>
  <c r="H15" i="2"/>
  <c r="A15" i="5" s="1"/>
  <c r="B18" i="7"/>
  <c r="B17" i="7"/>
  <c r="N103" i="4"/>
  <c r="N97" i="4"/>
  <c r="N99" i="4" s="1"/>
  <c r="U63" i="4"/>
  <c r="T63" i="4"/>
  <c r="S63" i="4"/>
  <c r="R63" i="4"/>
  <c r="Q63" i="4"/>
  <c r="P63" i="4"/>
  <c r="O38" i="4"/>
  <c r="P38" i="4" s="1"/>
  <c r="G89" i="2"/>
  <c r="G90" i="2" s="1"/>
  <c r="H72" i="2"/>
  <c r="A34" i="5" s="1"/>
  <c r="H71" i="2"/>
  <c r="A33" i="5" s="1"/>
  <c r="H70" i="2"/>
  <c r="A32" i="5" s="1"/>
  <c r="H69" i="2"/>
  <c r="A31" i="5" s="1"/>
  <c r="H68" i="2"/>
  <c r="A30" i="5" s="1"/>
  <c r="H66" i="2"/>
  <c r="A27" i="5" s="1"/>
  <c r="H65" i="2"/>
  <c r="A26" i="5" s="1"/>
  <c r="H64" i="2"/>
  <c r="A25" i="5" s="1"/>
  <c r="H63" i="2"/>
  <c r="A24" i="5" s="1"/>
  <c r="H62" i="2"/>
  <c r="A23" i="5" s="1"/>
  <c r="H61" i="2"/>
  <c r="A22" i="5" s="1"/>
  <c r="H60" i="2"/>
  <c r="A21" i="5" s="1"/>
  <c r="H59" i="2"/>
  <c r="A20" i="5" s="1"/>
  <c r="H58" i="2"/>
  <c r="A19" i="5" s="1"/>
  <c r="H57" i="2"/>
  <c r="A18" i="5" s="1"/>
  <c r="H54" i="2"/>
  <c r="A37" i="5" s="1"/>
  <c r="H37" i="2"/>
  <c r="A66" i="5" s="1"/>
  <c r="H36" i="2"/>
  <c r="A65" i="5" s="1"/>
  <c r="A63" i="5"/>
  <c r="A62" i="5"/>
  <c r="A61" i="5"/>
  <c r="A60" i="5"/>
  <c r="A81" i="5" l="1"/>
  <c r="A80" i="5"/>
  <c r="A79" i="5"/>
  <c r="A78" i="5"/>
  <c r="A77" i="5"/>
  <c r="A76" i="5"/>
  <c r="A75" i="5"/>
  <c r="A74" i="5"/>
  <c r="A73" i="5"/>
  <c r="A72" i="5"/>
  <c r="A49" i="5"/>
  <c r="A48" i="5"/>
  <c r="A47" i="5"/>
  <c r="A46" i="5"/>
  <c r="A45" i="5"/>
  <c r="A44" i="5"/>
  <c r="A43" i="5"/>
  <c r="A42" i="5"/>
  <c r="A41" i="5"/>
  <c r="A40" i="5"/>
  <c r="G43" i="2"/>
  <c r="G44" i="2" s="1"/>
  <c r="B29" i="4"/>
  <c r="E29" i="4" s="1"/>
  <c r="H90" i="2"/>
  <c r="G92" i="2"/>
  <c r="G93" i="2" s="1"/>
  <c r="AC87" i="4"/>
  <c r="AB87" i="4"/>
  <c r="AA87" i="4"/>
  <c r="Z87" i="4"/>
  <c r="Y87" i="4"/>
  <c r="X87" i="4"/>
  <c r="W87" i="4"/>
  <c r="U87" i="4"/>
  <c r="T87" i="4"/>
  <c r="S87" i="4"/>
  <c r="R87" i="4"/>
  <c r="Q87" i="4"/>
  <c r="P87" i="4"/>
  <c r="O87" i="4"/>
  <c r="V87" i="4"/>
  <c r="A7" i="5"/>
  <c r="H13" i="2"/>
  <c r="H74" i="2"/>
  <c r="G152" i="10"/>
  <c r="D38" i="10" s="1"/>
  <c r="C17" i="11"/>
  <c r="D17" i="11"/>
  <c r="H30" i="2"/>
  <c r="A59" i="5" s="1"/>
  <c r="B8" i="3"/>
  <c r="A69" i="7"/>
  <c r="A32" i="3" s="1"/>
  <c r="A12" i="5"/>
  <c r="Q38" i="4"/>
  <c r="O104" i="4"/>
  <c r="N106" i="4"/>
  <c r="N110" i="4" s="1"/>
  <c r="N111" i="4" s="1"/>
  <c r="N113" i="4" s="1"/>
  <c r="H38" i="2"/>
  <c r="A69" i="5" s="1"/>
  <c r="G155" i="10" l="1"/>
  <c r="H29" i="4"/>
  <c r="L29" i="4" s="1"/>
  <c r="M17" i="11"/>
  <c r="G161" i="10"/>
  <c r="I163" i="10" s="1"/>
  <c r="C10" i="8"/>
  <c r="C8" i="8"/>
  <c r="H84" i="2"/>
  <c r="H81" i="2"/>
  <c r="H80" i="2"/>
  <c r="H88" i="2"/>
  <c r="H85" i="2"/>
  <c r="H82" i="2"/>
  <c r="H86" i="2"/>
  <c r="H79" i="2"/>
  <c r="H83" i="2"/>
  <c r="H87" i="2"/>
  <c r="N118" i="4"/>
  <c r="R38" i="4"/>
  <c r="C14" i="8" l="1"/>
  <c r="C16" i="8"/>
  <c r="S38" i="4"/>
  <c r="B32" i="4" l="1"/>
  <c r="V91" i="4"/>
  <c r="AC91" i="4"/>
  <c r="AB91" i="4"/>
  <c r="Z91" i="4"/>
  <c r="Y91" i="4"/>
  <c r="AA91" i="4"/>
  <c r="X91" i="4"/>
  <c r="W91" i="4"/>
  <c r="AC89" i="4"/>
  <c r="AC95" i="4" s="1"/>
  <c r="AB89" i="4"/>
  <c r="AB95" i="4" s="1"/>
  <c r="AA89" i="4"/>
  <c r="AA95" i="4" s="1"/>
  <c r="Z89" i="4"/>
  <c r="Z95" i="4" s="1"/>
  <c r="Y89" i="4"/>
  <c r="Y95" i="4" s="1"/>
  <c r="X89" i="4"/>
  <c r="X95" i="4" s="1"/>
  <c r="V89" i="4"/>
  <c r="V95" i="4" s="1"/>
  <c r="AC88" i="4"/>
  <c r="AB88" i="4"/>
  <c r="AA88" i="4"/>
  <c r="Z88" i="4"/>
  <c r="Y88" i="4"/>
  <c r="X88" i="4"/>
  <c r="W89" i="4"/>
  <c r="W95" i="4" s="1"/>
  <c r="V88" i="4"/>
  <c r="W88" i="4"/>
  <c r="W94" i="4" s="1"/>
  <c r="W97" i="4" s="1"/>
  <c r="O90" i="4"/>
  <c r="T38" i="4"/>
  <c r="O54" i="4" l="1"/>
  <c r="O55" i="4" s="1"/>
  <c r="B8" i="4"/>
  <c r="U38" i="4"/>
  <c r="V38" i="4" s="1"/>
  <c r="W38" i="4" s="1"/>
  <c r="X38" i="4" s="1"/>
  <c r="Y38" i="4" s="1"/>
  <c r="Z38" i="4" s="1"/>
  <c r="AA38" i="4" s="1"/>
  <c r="AB38" i="4" s="1"/>
  <c r="AC38" i="4" s="1"/>
  <c r="P54" i="4" l="1"/>
  <c r="A3" i="4"/>
  <c r="Q54" i="4" l="1"/>
  <c r="P55" i="4"/>
  <c r="Y94" i="4"/>
  <c r="U91" i="4"/>
  <c r="P91" i="4"/>
  <c r="T88" i="4"/>
  <c r="O88" i="4"/>
  <c r="O94" i="4" s="1"/>
  <c r="V94" i="4"/>
  <c r="S91" i="4"/>
  <c r="AA94" i="4"/>
  <c r="P89" i="4"/>
  <c r="P95" i="4" s="1"/>
  <c r="B94" i="4"/>
  <c r="U89" i="4"/>
  <c r="U95" i="4" s="1"/>
  <c r="U88" i="4"/>
  <c r="S89" i="4"/>
  <c r="S95" i="4" s="1"/>
  <c r="AC94" i="4"/>
  <c r="S88" i="4"/>
  <c r="T89" i="4"/>
  <c r="T91" i="4"/>
  <c r="R88" i="4"/>
  <c r="Q89" i="4"/>
  <c r="Q91" i="4"/>
  <c r="Q88" i="4"/>
  <c r="R89" i="4"/>
  <c r="R95" i="4" s="1"/>
  <c r="R91" i="4"/>
  <c r="P88" i="4"/>
  <c r="O89" i="4"/>
  <c r="O91" i="4"/>
  <c r="O92" i="4" s="1"/>
  <c r="P90" i="4" s="1"/>
  <c r="P94" i="4" s="1"/>
  <c r="B95" i="4"/>
  <c r="AB94" i="4"/>
  <c r="Z94" i="4"/>
  <c r="X94" i="4"/>
  <c r="X97" i="4" l="1"/>
  <c r="Z97" i="4"/>
  <c r="AB97" i="4"/>
  <c r="AC97" i="4"/>
  <c r="AA97" i="4"/>
  <c r="Y97" i="4"/>
  <c r="V97" i="4"/>
  <c r="Q55" i="4"/>
  <c r="R54" i="4"/>
  <c r="P92" i="4"/>
  <c r="Q90" i="4" s="1"/>
  <c r="Q94" i="4" s="1"/>
  <c r="T95" i="4"/>
  <c r="O95" i="4"/>
  <c r="Q95" i="4"/>
  <c r="R55" i="4" l="1"/>
  <c r="S54" i="4"/>
  <c r="Q92" i="4"/>
  <c r="R92" i="4" s="1"/>
  <c r="O45" i="4"/>
  <c r="O97" i="4"/>
  <c r="V39" i="4"/>
  <c r="W39" i="4" s="1"/>
  <c r="X39" i="4" s="1"/>
  <c r="Y39" i="4" s="1"/>
  <c r="Z39" i="4" s="1"/>
  <c r="AA39" i="4" s="1"/>
  <c r="AB39" i="4" s="1"/>
  <c r="AC39" i="4" s="1"/>
  <c r="S55" i="4" l="1"/>
  <c r="T54" i="4"/>
  <c r="R90" i="4"/>
  <c r="R94" i="4" s="1"/>
  <c r="P45" i="4"/>
  <c r="P97" i="4"/>
  <c r="S92" i="4"/>
  <c r="S90" i="4"/>
  <c r="S94" i="4" s="1"/>
  <c r="T55" i="4" l="1"/>
  <c r="U54" i="4"/>
  <c r="V54" i="4" s="1"/>
  <c r="Q97" i="4"/>
  <c r="R56" i="4"/>
  <c r="P56" i="4"/>
  <c r="P65" i="4" s="1"/>
  <c r="O56" i="4"/>
  <c r="O65" i="4" s="1"/>
  <c r="Q56" i="4"/>
  <c r="S56" i="4"/>
  <c r="T56" i="4"/>
  <c r="Q45" i="4"/>
  <c r="T92" i="4"/>
  <c r="T90" i="4"/>
  <c r="T94" i="4" s="1"/>
  <c r="V55" i="4" l="1"/>
  <c r="V56" i="4" s="1"/>
  <c r="W54" i="4"/>
  <c r="U55" i="4"/>
  <c r="Q65" i="4"/>
  <c r="O99" i="4"/>
  <c r="U56" i="4"/>
  <c r="Q99" i="4"/>
  <c r="P99" i="4"/>
  <c r="R97" i="4"/>
  <c r="R45" i="4"/>
  <c r="R65" i="4" s="1"/>
  <c r="U92" i="4"/>
  <c r="U90" i="4"/>
  <c r="U94" i="4" s="1"/>
  <c r="X54" i="4" l="1"/>
  <c r="W55" i="4"/>
  <c r="W56" i="4" s="1"/>
  <c r="V90" i="4"/>
  <c r="V92" i="4"/>
  <c r="W92" i="4" s="1"/>
  <c r="O102" i="4"/>
  <c r="O103" i="4" s="1"/>
  <c r="O106" i="4"/>
  <c r="P102" i="4"/>
  <c r="P103" i="4" s="1"/>
  <c r="Q102" i="4" s="1"/>
  <c r="Q103" i="4" s="1"/>
  <c r="P104" i="4"/>
  <c r="S97" i="4"/>
  <c r="R99" i="4"/>
  <c r="S45" i="4"/>
  <c r="S65" i="4" s="1"/>
  <c r="T97" i="4"/>
  <c r="W90" i="4"/>
  <c r="X55" i="4" l="1"/>
  <c r="X56" i="4" s="1"/>
  <c r="Y54" i="4"/>
  <c r="X92" i="4"/>
  <c r="Y92" i="4" s="1"/>
  <c r="X90" i="4"/>
  <c r="P106" i="4"/>
  <c r="P110" i="4" s="1"/>
  <c r="P111" i="4" s="1"/>
  <c r="P118" i="4" s="1"/>
  <c r="E14" i="8" s="1"/>
  <c r="O110" i="4"/>
  <c r="O111" i="4" s="1"/>
  <c r="O118" i="4" s="1"/>
  <c r="S99" i="4"/>
  <c r="T45" i="4"/>
  <c r="T65" i="4" s="1"/>
  <c r="R102" i="4"/>
  <c r="Z54" i="4" l="1"/>
  <c r="Y55" i="4"/>
  <c r="Y56" i="4" s="1"/>
  <c r="Z90" i="4"/>
  <c r="Z92" i="4"/>
  <c r="D14" i="8"/>
  <c r="P113" i="4"/>
  <c r="P123" i="4" s="1"/>
  <c r="Q104" i="4"/>
  <c r="Q106" i="4" s="1"/>
  <c r="R104" i="4" s="1"/>
  <c r="R106" i="4" s="1"/>
  <c r="S104" i="4" s="1"/>
  <c r="O113" i="4"/>
  <c r="T99" i="4"/>
  <c r="E8" i="8"/>
  <c r="U97" i="4"/>
  <c r="U45" i="4"/>
  <c r="U65" i="4" s="1"/>
  <c r="Y90" i="4"/>
  <c r="R103" i="4"/>
  <c r="Z55" i="4" l="1"/>
  <c r="Z56" i="4" s="1"/>
  <c r="AA54" i="4"/>
  <c r="V45" i="4"/>
  <c r="V65" i="4" s="1"/>
  <c r="V99" i="4" s="1"/>
  <c r="B40" i="7"/>
  <c r="B39" i="7"/>
  <c r="AA90" i="4"/>
  <c r="AA92" i="4"/>
  <c r="O123" i="4"/>
  <c r="D8" i="8"/>
  <c r="Q110" i="4"/>
  <c r="Q111" i="4" s="1"/>
  <c r="Q113" i="4" s="1"/>
  <c r="U99" i="4"/>
  <c r="R110" i="4"/>
  <c r="R111" i="4" s="1"/>
  <c r="R118" i="4" s="1"/>
  <c r="G14" i="8" s="1"/>
  <c r="S102" i="4"/>
  <c r="S106" i="4" s="1"/>
  <c r="AB54" i="4" l="1"/>
  <c r="AA55" i="4"/>
  <c r="AA56" i="4" s="1"/>
  <c r="W45" i="4"/>
  <c r="W65" i="4" s="1"/>
  <c r="B41" i="7"/>
  <c r="AB90" i="4"/>
  <c r="AB92" i="4"/>
  <c r="Q123" i="4"/>
  <c r="W99" i="4"/>
  <c r="F8" i="8"/>
  <c r="Q118" i="4"/>
  <c r="R113" i="4"/>
  <c r="S110" i="4"/>
  <c r="S111" i="4" s="1"/>
  <c r="T104" i="4"/>
  <c r="S103" i="4"/>
  <c r="AC54" i="4" l="1"/>
  <c r="AC55" i="4" s="1"/>
  <c r="AC56" i="4" s="1"/>
  <c r="AB55" i="4"/>
  <c r="AB56" i="4" s="1"/>
  <c r="X45" i="4"/>
  <c r="X65" i="4" s="1"/>
  <c r="B42" i="7"/>
  <c r="AC90" i="4"/>
  <c r="AC92" i="4"/>
  <c r="F14" i="8"/>
  <c r="X99" i="4"/>
  <c r="G8" i="8"/>
  <c r="R123" i="4"/>
  <c r="T102" i="4"/>
  <c r="T106" i="4" s="1"/>
  <c r="S113" i="4"/>
  <c r="S118" i="4"/>
  <c r="Y45" i="4" l="1"/>
  <c r="Y65" i="4" s="1"/>
  <c r="B43" i="7"/>
  <c r="Y99" i="4"/>
  <c r="H14" i="8"/>
  <c r="H8" i="8"/>
  <c r="S123" i="4"/>
  <c r="T103" i="4"/>
  <c r="U102" i="4" s="1"/>
  <c r="U103" i="4" s="1"/>
  <c r="U104" i="4"/>
  <c r="T110" i="4"/>
  <c r="T111" i="4" s="1"/>
  <c r="Z45" i="4" l="1"/>
  <c r="Z65" i="4" s="1"/>
  <c r="Y102" i="4"/>
  <c r="V102" i="4"/>
  <c r="Z99" i="4"/>
  <c r="T113" i="4"/>
  <c r="T118" i="4"/>
  <c r="U106" i="4"/>
  <c r="V104" i="4" s="1"/>
  <c r="AA45" i="4" l="1"/>
  <c r="AA65" i="4" s="1"/>
  <c r="B44" i="7"/>
  <c r="Z102" i="4"/>
  <c r="V106" i="4"/>
  <c r="V103" i="4"/>
  <c r="AA99" i="4"/>
  <c r="I14" i="8"/>
  <c r="I8" i="8"/>
  <c r="T123" i="4"/>
  <c r="U110" i="4"/>
  <c r="U111" i="4" s="1"/>
  <c r="AC45" i="4" l="1"/>
  <c r="AC65" i="4" s="1"/>
  <c r="AB45" i="4"/>
  <c r="AB65" i="4" s="1"/>
  <c r="AA102" i="4"/>
  <c r="W102" i="4"/>
  <c r="V110" i="4"/>
  <c r="V111" i="4" s="1"/>
  <c r="W104" i="4"/>
  <c r="V118" i="4"/>
  <c r="V113" i="4"/>
  <c r="V123" i="4" s="1"/>
  <c r="AC99" i="4"/>
  <c r="AB99" i="4"/>
  <c r="U113" i="4"/>
  <c r="U118" i="4"/>
  <c r="B46" i="7" l="1"/>
  <c r="B45" i="7"/>
  <c r="AB102" i="4"/>
  <c r="AC102" i="4"/>
  <c r="W106" i="4"/>
  <c r="W103" i="4"/>
  <c r="X102" i="4" s="1"/>
  <c r="J14" i="8"/>
  <c r="J8" i="8"/>
  <c r="U123" i="4"/>
  <c r="K14" i="8"/>
  <c r="X104" i="4" l="1"/>
  <c r="X106" i="4" s="1"/>
  <c r="W110" i="4"/>
  <c r="W111" i="4" s="1"/>
  <c r="K8" i="8"/>
  <c r="W118" i="4" l="1"/>
  <c r="W113" i="4"/>
  <c r="Y104" i="4"/>
  <c r="Y106" i="4" s="1"/>
  <c r="X110" i="4"/>
  <c r="X111" i="4" s="1"/>
  <c r="L14" i="8"/>
  <c r="L8" i="8"/>
  <c r="W123" i="4" l="1"/>
  <c r="B47" i="7"/>
  <c r="X118" i="4"/>
  <c r="M14" i="8" s="1"/>
  <c r="X113" i="4"/>
  <c r="Z104" i="4"/>
  <c r="Z106" i="4" s="1"/>
  <c r="Y110" i="4"/>
  <c r="Y111" i="4" s="1"/>
  <c r="M8" i="8"/>
  <c r="X123" i="4" l="1"/>
  <c r="B48" i="7"/>
  <c r="Y118" i="4"/>
  <c r="N14" i="8" s="1"/>
  <c r="Y113" i="4"/>
  <c r="AA104" i="4"/>
  <c r="AA106" i="4" s="1"/>
  <c r="Z110" i="4"/>
  <c r="Z111" i="4" s="1"/>
  <c r="N8" i="8"/>
  <c r="Y123" i="4" l="1"/>
  <c r="B49" i="7"/>
  <c r="Z118" i="4"/>
  <c r="O14" i="8" s="1"/>
  <c r="Z113" i="4"/>
  <c r="AB104" i="4"/>
  <c r="AB106" i="4" s="1"/>
  <c r="AA110" i="4"/>
  <c r="AA111" i="4" s="1"/>
  <c r="O8" i="8"/>
  <c r="Z123" i="4" l="1"/>
  <c r="B50" i="7"/>
  <c r="AA118" i="4"/>
  <c r="AA113" i="4"/>
  <c r="AC104" i="4"/>
  <c r="AC106" i="4" s="1"/>
  <c r="AC110" i="4" s="1"/>
  <c r="AC111" i="4" s="1"/>
  <c r="AB110" i="4"/>
  <c r="AB111" i="4" s="1"/>
  <c r="P14" i="8"/>
  <c r="P8" i="8"/>
  <c r="AA123" i="4" l="1"/>
  <c r="B51" i="7"/>
  <c r="AB118" i="4"/>
  <c r="AB113" i="4"/>
  <c r="AC118" i="4"/>
  <c r="AC113" i="4"/>
  <c r="AC123" i="4" s="1"/>
  <c r="R14" i="8"/>
  <c r="Q8" i="8"/>
  <c r="R8" i="8"/>
  <c r="AB123" i="4" l="1"/>
  <c r="B53" i="7"/>
  <c r="L125" i="4" s="1"/>
  <c r="B52" i="7"/>
  <c r="L115" i="4"/>
  <c r="L120" i="4"/>
  <c r="Q14" i="8"/>
  <c r="O16" i="8"/>
  <c r="M16" i="8"/>
  <c r="Q16" i="8"/>
  <c r="R16" i="8"/>
  <c r="P16" i="8"/>
  <c r="K16" i="8"/>
  <c r="L16" i="8"/>
  <c r="N16" i="8"/>
  <c r="E16" i="8"/>
  <c r="F16" i="8"/>
  <c r="G16" i="8"/>
  <c r="H16" i="8"/>
  <c r="I16" i="8"/>
  <c r="J16" i="8"/>
  <c r="P10" i="8"/>
  <c r="O10" i="8"/>
  <c r="R10" i="8"/>
  <c r="L10" i="8"/>
  <c r="N10" i="8"/>
  <c r="H10" i="8"/>
  <c r="F10" i="8"/>
  <c r="D10" i="8"/>
  <c r="K10" i="8"/>
  <c r="E10" i="8"/>
  <c r="M10" i="8"/>
  <c r="G10" i="8"/>
  <c r="J10" i="8"/>
  <c r="I10" i="8"/>
  <c r="Q10" i="8"/>
  <c r="B9" i="8"/>
  <c r="B15" i="8" l="1"/>
  <c r="D16" i="8"/>
  <c r="B17" i="8"/>
  <c r="B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JHH</author>
  </authors>
  <commentList>
    <comment ref="D25" authorId="0" shapeId="0" xr:uid="{CFB29D61-3770-457A-9CB3-205E8E41878D}">
      <text>
        <r>
          <rPr>
            <b/>
            <sz val="9"/>
            <color indexed="81"/>
            <rFont val="Tahoma"/>
            <family val="2"/>
          </rPr>
          <t>Toelichting</t>
        </r>
        <r>
          <rPr>
            <sz val="9"/>
            <color indexed="81"/>
            <rFont val="Tahoma"/>
            <family val="2"/>
          </rPr>
          <t xml:space="preserve">
Hier vult u de verwachte gemiddelde jaarlijkse volledig hernieuwbare waterstofproductie in na de subsidieperiode, rekeninghoudend met degradatie-effecten door veroudering van de stacks, die tijdens de subsidieperiode ontstaan. </t>
        </r>
      </text>
    </comment>
    <comment ref="D30" authorId="0" shapeId="0" xr:uid="{3BC03D91-A1A2-459A-961C-FFC8BA1A9C66}">
      <text>
        <r>
          <rPr>
            <b/>
            <sz val="9"/>
            <color indexed="81"/>
            <rFont val="Tahoma"/>
            <family val="2"/>
          </rPr>
          <t>Toelichting</t>
        </r>
        <r>
          <rPr>
            <sz val="9"/>
            <color indexed="81"/>
            <rFont val="Tahoma"/>
            <charset val="1"/>
          </rPr>
          <t xml:space="preserve">
Hier vult u de verwachte gemiddelde jaarlijkse niet-volledig hernieuwbare waterstofproductie in na de subsidieperiode, rekeninghoudend met degradatie-effecten door veroudering van de stacks, die tijdens de subsidieperiode ontstaan. </t>
        </r>
      </text>
    </comment>
    <comment ref="D34" authorId="0" shapeId="0" xr:uid="{F8E90406-6CE6-4793-8A22-7E10BB9FD3AC}">
      <text>
        <r>
          <rPr>
            <b/>
            <sz val="9"/>
            <color indexed="81"/>
            <rFont val="Tahoma"/>
            <family val="2"/>
          </rPr>
          <t>Toelichting:</t>
        </r>
        <r>
          <rPr>
            <sz val="9"/>
            <color indexed="81"/>
            <rFont val="Tahoma"/>
            <family val="2"/>
          </rPr>
          <t xml:space="preserve">
U vult hier een subsidielooptijd in van minimaal 7 jaar en maximaal 15 jaar.  
</t>
        </r>
      </text>
    </comment>
    <comment ref="D35" authorId="0" shapeId="0" xr:uid="{78CA24F4-EA8E-4E17-BD96-08A1716EAF81}">
      <text>
        <r>
          <rPr>
            <b/>
            <sz val="9"/>
            <color indexed="81"/>
            <rFont val="Tahoma"/>
            <family val="2"/>
          </rPr>
          <t>Toelichting:</t>
        </r>
        <r>
          <rPr>
            <sz val="9"/>
            <color indexed="81"/>
            <rFont val="Tahoma"/>
            <family val="2"/>
          </rPr>
          <t xml:space="preserve">
Het aantal jaren voor de economische levensduur die u hier invult wordt in de exploitatieberekening ook gebruikt als periode voor de marktopbrengsten, de operationele kosten en de afschrijving. 
De economische levensduur kan langer zijn dan de periode waarvoor u subsidie aanvraagt, maar is niet langer dan 15 jaar.
</t>
        </r>
      </text>
    </comment>
    <comment ref="D36" authorId="0" shapeId="0" xr:uid="{4BCE986C-46FB-4898-9898-7CAB175AB3BB}">
      <text>
        <r>
          <rPr>
            <b/>
            <sz val="9"/>
            <color indexed="81"/>
            <rFont val="Tahoma"/>
            <family val="2"/>
          </rPr>
          <t>Toelichting</t>
        </r>
        <r>
          <rPr>
            <sz val="9"/>
            <color indexed="81"/>
            <rFont val="Tahoma"/>
            <family val="2"/>
          </rPr>
          <t xml:space="preserve">
Het exploitatiesubsidiebedrag in euro/kg H₂ bedraagt de aangevraagde productieprijs minus het jaarlijks vast te stellen correctiebedrag.</t>
        </r>
      </text>
    </comment>
    <comment ref="D37" authorId="0" shapeId="0" xr:uid="{82AC610A-09CF-49C8-A57B-DA60F5CA0162}">
      <text>
        <r>
          <rPr>
            <b/>
            <sz val="9"/>
            <color indexed="81"/>
            <rFont val="Tahoma"/>
            <family val="2"/>
          </rPr>
          <t>Toelichting</t>
        </r>
        <r>
          <rPr>
            <sz val="9"/>
            <color indexed="81"/>
            <rFont val="Tahoma"/>
            <charset val="1"/>
          </rPr>
          <t xml:space="preserve">
Aangevraagd subsidiebedrag = (aangevraagde investeringssubsidiebedrag in € : aangevraagde totale  hoeveelheid te produceren volledig hernieuwbare waterstof in kg in de periode die het exploitatiesubsidiedeel zal beslaan) + (aangevraagde productieprijs van volledig hernieuwbare waterstof in € per kg - € 1,7600 per kg waterstof).
Het aangevraagde subsidiebedrag mag niet hoger zijn 9 eur/kg H2.
</t>
        </r>
      </text>
    </comment>
    <comment ref="D38" authorId="0" shapeId="0" xr:uid="{7CBED261-517F-4765-885B-79E4A5057017}">
      <text>
        <r>
          <rPr>
            <b/>
            <sz val="9"/>
            <color indexed="81"/>
            <rFont val="Tahoma"/>
            <family val="2"/>
          </rPr>
          <t>Toelichting</t>
        </r>
        <r>
          <rPr>
            <sz val="9"/>
            <color indexed="81"/>
            <rFont val="Tahoma"/>
            <family val="2"/>
          </rPr>
          <t xml:space="preserve">
De eventuele verhoging van het investeringssubsidiebedrag voor een kleine of middelgrote onderneming wordt in het rankingsbedrag niet meegenomen.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Rinsma, ing. G.R. (Gerhard)</author>
  </authors>
  <commentList>
    <comment ref="C18" authorId="0" shapeId="0" xr:uid="{0F463025-84A8-47D4-99C3-4A11FD5C9534}">
      <text>
        <r>
          <rPr>
            <sz val="9"/>
            <color indexed="81"/>
            <rFont val="Tahoma"/>
            <family val="2"/>
          </rPr>
          <t xml:space="preserve">Vul eerst onder tabblad  investeringbegroting startdatum en einddatum project in!
</t>
        </r>
      </text>
    </comment>
    <comment ref="C19" authorId="0" shapeId="0" xr:uid="{12201C20-6723-4302-843B-4449971704CF}">
      <text>
        <r>
          <rPr>
            <sz val="9"/>
            <color indexed="81"/>
            <rFont val="Tahoma"/>
            <family val="2"/>
          </rPr>
          <t xml:space="preserve">Vul eerst onder tabblad  investeringbegroting startdatum en einddatum project in!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J.H. Hoekstra</author>
    <author>Hoekstra, ing. J.H. (Jan Hendrik)</author>
    <author>Oerlemans, ir. R.H.J. (Ruud)</author>
  </authors>
  <commentList>
    <comment ref="E11" authorId="0" shapeId="0" xr:uid="{DB18735C-A641-48F2-87C0-B3DE717F23DD}">
      <text>
        <r>
          <rPr>
            <b/>
            <sz val="9"/>
            <color indexed="81"/>
            <rFont val="Tahoma"/>
            <family val="2"/>
          </rPr>
          <t>Eigen vermogen ingeval van balansfinanciering:</t>
        </r>
        <r>
          <rPr>
            <sz val="9"/>
            <color indexed="81"/>
            <rFont val="Tahoma"/>
            <family val="2"/>
          </rPr>
          <t xml:space="preserve">
U kunt hierbij uitgaan van het eigen vermogen op de meest recente jaarrekening, eventueel vermeerderd met extra inbreng van vermogen door aandeelhouders voor het project c.q. de projecten waarvoor u subsidie aanvraagt binnen deze openstellingsronde.  </t>
        </r>
      </text>
    </comment>
    <comment ref="E12" authorId="0" shapeId="0" xr:uid="{76056613-5A6B-412A-B1AF-7686E19E3D1D}">
      <text>
        <r>
          <rPr>
            <b/>
            <sz val="9"/>
            <color indexed="81"/>
            <rFont val="Tahoma"/>
            <family val="2"/>
          </rPr>
          <t>Rentedragende financiering ingeval van balansfinanciering:</t>
        </r>
        <r>
          <rPr>
            <sz val="9"/>
            <color indexed="81"/>
            <rFont val="Tahoma"/>
            <family val="2"/>
          </rPr>
          <t xml:space="preserve">
U kunt hierbij uitgaan van de rentedragende financiering op de meest recente jaarrekening, eventueel vermeerderd met extra financiering voor het project c.q. de projecten waarvoor u subsidie aanvraagt binnen deze openstellingsronde.  </t>
        </r>
      </text>
    </comment>
    <comment ref="E13" authorId="0" shapeId="0" xr:uid="{5BA959CA-0E3C-4744-9021-322AF3DBC2AD}">
      <text>
        <r>
          <rPr>
            <b/>
            <sz val="9"/>
            <color indexed="81"/>
            <rFont val="Tahoma"/>
            <family val="2"/>
          </rPr>
          <t>Eigen vermogen bij balansfinanciering:</t>
        </r>
        <r>
          <rPr>
            <sz val="9"/>
            <color indexed="81"/>
            <rFont val="Tahoma"/>
            <family val="2"/>
          </rPr>
          <t xml:space="preserve">
Voor de bepaling van percentage eigen vermogen wordt de onderstaande berekening aangehouden:
                              eigen vermogen
--------------------------------------------------------------------------------* 100%
eigen vermogen + rentedragende gefinancierd vermogen 
</t>
        </r>
      </text>
    </comment>
    <comment ref="E19" authorId="1" shapeId="0" xr:uid="{A3CD5890-54D4-4181-BD2E-08FACF16070A}">
      <text>
        <r>
          <rPr>
            <sz val="8"/>
            <color indexed="81"/>
            <rFont val="Tahoma"/>
            <family val="2"/>
          </rPr>
          <t xml:space="preserve">Het gaat hier om het aantal productie-installaties waarvoor de aanvrager binnen deze openstellingsronde subsidie aanvraagt.
</t>
        </r>
      </text>
    </comment>
    <comment ref="B22" authorId="0" shapeId="0" xr:uid="{0883EF34-DB4E-4C34-A76D-B6A823DF405B}">
      <text>
        <r>
          <rPr>
            <sz val="9"/>
            <color indexed="81"/>
            <rFont val="Tahoma"/>
            <family val="2"/>
          </rPr>
          <t xml:space="preserve">Hier geeft u een korte omschrijving van uw aanvraag of als u meerdere aanvragen hebt ingediend van alle aanvragen binnen deze openstellingsronde. </t>
        </r>
      </text>
    </comment>
    <comment ref="B25" authorId="0" shapeId="0" xr:uid="{32ECCC70-555C-4142-B006-A8FA95DF9B1D}">
      <text>
        <r>
          <rPr>
            <sz val="9"/>
            <color indexed="81"/>
            <rFont val="Tahoma"/>
            <family val="2"/>
          </rPr>
          <t xml:space="preserve">Hier geeft u een duidelijk plan voor de financiering van de productie-installatie(s) waarvoor u OWE aanvraagt. Het financieringsplan moet aannemelijk maken dat het project gefinancierd kan worden als OWE subsidie wordt verleend.
- Als het aandeel eigen vermogen, anders dan het aangevraagde investeringssubsidiedeel, in de totale investering minder is dan 20% is ook een verklaring van een financier verplicht.
- U geeft altijd inzicht in het eigen vermogen van de subsidieaanvrager zelf. Dit doet u door het bijvoegen van een jaarrekening of bedrijfsbalans of als u geen jaarrekening of bedrijfsbalans heeft (bijvoorbeeld in het geval dat u een recent een nieuwe entiteit heeft opgericht voor het project waarvoor u subsidie aanvraagt) door toe te lichten waarom u als aanvrager geen jaarrekening of bedrijfsbalans heeft.
- Het onderdeel eigen vermogen door derden of aandeelhouder(s) onderbouwt u door een toezegging met deze partij(en) bij te voegen en eventueel een jaarrekening of bedrijfsbalans van deze partij(en) bij te voegen. </t>
        </r>
      </text>
    </comment>
    <comment ref="B30" authorId="1" shapeId="0" xr:uid="{23784CDD-DB9C-4030-8964-73BC5D2BD225}">
      <text>
        <r>
          <rPr>
            <b/>
            <sz val="8"/>
            <color indexed="81"/>
            <rFont val="Tahoma"/>
            <family val="2"/>
          </rPr>
          <t>Investeringen:</t>
        </r>
        <r>
          <rPr>
            <sz val="8"/>
            <color indexed="81"/>
            <rFont val="Tahoma"/>
            <family val="2"/>
          </rPr>
          <t xml:space="preserve">
Hieronder vallen alle te verwachten investeringskosten die moeten worden gemaakt ten behoeve van de realisatie van de productie-installatie(s).  
Wanneer u voor één productie-installatie subsidie aanvraagt in deze openstellingsronde, volstaat het noemen van de totale investeringskosten van de installatie.
Wanneer u voor meerdere installaties aanvraagt in deze openstellingsronde, geeft u per installatie of cluster van soortgelijke installaties de investeringskosten op. U kunt in dit invulblok eventueel extra regels invoegen.
In het tabblad Exploitatieberekening geeft u per installatie per hoofdcomponent de investeringskosten op.</t>
        </r>
      </text>
    </comment>
    <comment ref="G38" authorId="2" shapeId="0" xr:uid="{4DEB4B20-4A91-4EDB-9C77-E9BFA6C663F0}">
      <text>
        <r>
          <rPr>
            <b/>
            <sz val="8"/>
            <color indexed="81"/>
            <rFont val="Tahoma"/>
            <family val="2"/>
          </rPr>
          <t xml:space="preserve">Let op:
</t>
        </r>
        <r>
          <rPr>
            <sz val="8"/>
            <color indexed="81"/>
            <rFont val="Tahoma"/>
            <family val="2"/>
          </rPr>
          <t>Dit totaal moet gelijk zijn aan de som van alle aanvragen indien u meerdere aanvragen in deze openstellingsronde hebt ingediend</t>
        </r>
      </text>
    </comment>
    <comment ref="A47" authorId="2" shapeId="0" xr:uid="{B109F112-6E80-4672-A314-F961AE81EA37}">
      <text>
        <r>
          <rPr>
            <sz val="8"/>
            <color indexed="81"/>
            <rFont val="Tahoma"/>
            <family val="2"/>
          </rPr>
          <t xml:space="preserve">De financiering bestaat uit inbreng eigen vermogen en/of inbreng uit vreemd vermogen. 
U geeft op hoeveel Euro u uit eigen vermogen financiert. Het resterende bedrag specificeert u onder het kopje vreemd vermogen. 
</t>
        </r>
      </text>
    </comment>
    <comment ref="G50" authorId="1" shapeId="0" xr:uid="{A6ABAB8C-40E7-4477-9523-81E3BF52A493}">
      <text>
        <r>
          <rPr>
            <sz val="8"/>
            <color indexed="81"/>
            <rFont val="Tahoma"/>
            <family val="2"/>
          </rPr>
          <t>Het gaat hierbij specifiek om het eigen vermogen van uw onderneming dat beschikbaar is voor de investering in het project op het moment dat u de subsidie aanvraag/aanvragen indient.</t>
        </r>
      </text>
    </comment>
    <comment ref="G54" authorId="1" shapeId="0" xr:uid="{DCF300CC-A4EC-4178-B6C4-3F8E9F0B056E}">
      <text>
        <r>
          <rPr>
            <sz val="8"/>
            <color indexed="81"/>
            <rFont val="Tahoma"/>
            <family val="2"/>
          </rPr>
          <t xml:space="preserve">Hier vult u het totaalbedrag in dat middels crowdfunding of participaties wordt ingebracht.
</t>
        </r>
      </text>
    </comment>
    <comment ref="B57" authorId="1" shapeId="0" xr:uid="{B41E4B29-B323-444D-BE7F-E48FD4B6157D}">
      <text>
        <r>
          <rPr>
            <sz val="8"/>
            <color indexed="81"/>
            <rFont val="Tahoma"/>
            <family val="2"/>
          </rPr>
          <t>Eigen vermogen door derden of aandeelhouder(s) is onderbouwd met een contract.
Maak eventueel duidelijk dat de eigen vermogenverschaffer het geld beschikbaar heeft (jaarrekening of bedrijfsbalans).</t>
        </r>
      </text>
    </comment>
    <comment ref="B68" authorId="1" shapeId="0" xr:uid="{3E733C8E-2217-456D-9AD8-E0A85A7EAE96}">
      <text>
        <r>
          <rPr>
            <sz val="8"/>
            <color indexed="81"/>
            <rFont val="Tahoma"/>
            <family val="2"/>
          </rPr>
          <t>Eigen vermogen door achtergestelde leningen van derden is onderbouwd met een contract.
Maak eventueel duidelijk dat de verschaffer van de achtergestelde lening het geld beschikbaar heeft (jaarrekening of bedrijfsbalans).
Ingeval van een bij overheidswege verschafte achtergestelde lening hoeft u niet te onderbouwen dat deze geld beschikbaar heeft, maar volstaat het contract zelf.</t>
        </r>
      </text>
    </comment>
    <comment ref="B79" authorId="1" shapeId="0" xr:uid="{16A97686-2F0F-4EB4-AC18-7297D26217D0}">
      <text>
        <r>
          <rPr>
            <sz val="8"/>
            <color indexed="81"/>
            <rFont val="Tahoma"/>
            <family val="2"/>
          </rPr>
          <t xml:space="preserve">Onderbouwt u het vreemd vermogen zoveel mogelijk met contracten, offertes of intentieverklaring van de beoogde financier(s). 
</t>
        </r>
        <r>
          <rPr>
            <b/>
            <sz val="8"/>
            <color indexed="81"/>
            <rFont val="Tahoma"/>
            <family val="2"/>
          </rPr>
          <t>Let op:</t>
        </r>
        <r>
          <rPr>
            <sz val="8"/>
            <color indexed="81"/>
            <rFont val="Tahoma"/>
            <family val="2"/>
          </rPr>
          <t xml:space="preserve">
Als u voor de investeringskosten van het project, waarvoor u OWE- subsidie aanvraagt, over minder dan 20% eigen vermogen, exclusief OWE-investeringssubsidie beschikt voor deze investering, moet u verplicht een contract, offerte of intentieverklaring van een financier toevoegen. Hieruit moet blijken dat deze financier bereid is om het project te financieren in geval van een positieve OWE-beschikking.
In het geval dat u wel over 20% van de investeringskosten aan eigen vermogen beschikt, maar dit niet in het project kan of wil investeren moet u eveneens verplicht een contract, offerte of intentieverklaring van de beoogde financier(s) toevoegen.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Hoekstra, ing. J.H. (Jan Hendrik)</author>
    <author>JHH</author>
    <author>J.H. Hoekstra</author>
  </authors>
  <commentList>
    <comment ref="E32" authorId="0" shapeId="0" xr:uid="{FE96901E-954C-4690-88F7-3F921FC1A908}">
      <text>
        <r>
          <rPr>
            <sz val="8"/>
            <color indexed="81"/>
            <rFont val="Tahoma"/>
            <family val="2"/>
          </rPr>
          <t xml:space="preserve">De looptijd van de lening is in deze exploitatieberekening standaard gelijk aan de economische levensduur. Indien uw lening een andere looptijd heeft kunt u deze aanpassen. De looptijd van de lening bedraagt minimaal 1 jaar en maximaal het aantal jaren voor de economische levensduur.    
</t>
        </r>
      </text>
    </comment>
    <comment ref="L32" authorId="0" shapeId="0" xr:uid="{D0ABC709-5B7A-4F9E-821F-D64705C99365}">
      <text>
        <r>
          <rPr>
            <b/>
            <sz val="8"/>
            <color indexed="81"/>
            <rFont val="Tahoma"/>
            <family val="2"/>
          </rPr>
          <t>Vreemd vermogen:</t>
        </r>
        <r>
          <rPr>
            <sz val="8"/>
            <color indexed="81"/>
            <rFont val="Tahoma"/>
            <family val="2"/>
          </rPr>
          <t xml:space="preserve">
In dit invulblok vult u het rentepercentage, de looptijd van de lening en de aflossingsvorm van de lening in. Het model rekent dan zelf de aflossing en rente per jaar uit. </t>
        </r>
      </text>
    </comment>
    <comment ref="H38" authorId="0" shapeId="0" xr:uid="{471D93E3-4320-42CE-82A0-632898E10BB1}">
      <text>
        <r>
          <rPr>
            <sz val="8"/>
            <color indexed="81"/>
            <rFont val="Tahoma"/>
            <family val="2"/>
          </rPr>
          <t xml:space="preserve">In deze cel vult u de door u verwachte verkoopprijs van één kg waterstof in. Hierbij dient u uit te gaan van de verwachte gemiddelde prijs in het eerste productiejaar. 
</t>
        </r>
      </text>
    </comment>
    <comment ref="L38" authorId="0" shapeId="0" xr:uid="{CA53BBD0-50E2-4ACC-9321-47B202327ABC}">
      <text>
        <r>
          <rPr>
            <sz val="8"/>
            <color indexed="81"/>
            <rFont val="Tahoma"/>
            <family val="2"/>
          </rPr>
          <t xml:space="preserve">In deze cel vult u de prijs-indexatie in voor waterstof.
In het geval dat er sprake is van langlopende leveringscontracten voor uw product met een vaste prijs, kunt u deze op 0% zetten. Anders kunt u de indexatie invullen die u verwacht voor de prijsontwikkeling in Nederland voor waterstof. 
</t>
        </r>
      </text>
    </comment>
    <comment ref="H42" authorId="1" shapeId="0" xr:uid="{F889CBCE-EAC3-48A4-B1E1-F32E2A1AB0F4}">
      <text>
        <r>
          <rPr>
            <sz val="9"/>
            <color indexed="81"/>
            <rFont val="Tahoma"/>
            <family val="2"/>
          </rPr>
          <t xml:space="preserve">In deze cel vult u de door u verwachte verkoopprijs van één GvO waterstof in. Hierbij dient u uit te gaan van de verwachte gemiddelde prijs in het eerste productiejaar. 
</t>
        </r>
      </text>
    </comment>
    <comment ref="L42" authorId="1" shapeId="0" xr:uid="{38E37669-5AC6-4912-B3A1-6964862C525E}">
      <text>
        <r>
          <rPr>
            <sz val="9"/>
            <color indexed="81"/>
            <rFont val="Tahoma"/>
            <family val="2"/>
          </rPr>
          <t xml:space="preserve">In deze cel vult u de prijs-indexatie in voor de waarde van de Garanties van Oorsprong (GvO) voor hernieuwbare waterstof.
In het geval dat er sprake is van langlopende leveringscontracten voor de verkoop van GvO's waterstof met een vaste prijs, kunt u deze op 0% zetten. Anders kunt u de indexatie invullen die u verwacht voor de prijsontwikkeling in Nederland voor GvO's waterstof. 
</t>
        </r>
      </text>
    </comment>
    <comment ref="H47" authorId="2" shapeId="0" xr:uid="{E19CB5C3-9CB5-434E-908D-CB91212ED538}">
      <text>
        <r>
          <rPr>
            <sz val="9"/>
            <color indexed="81"/>
            <rFont val="Tahoma"/>
            <family val="2"/>
          </rPr>
          <t xml:space="preserve">De ETS-prijs is in deze exploitatieberekening standaard gelijk aan de ETS-component in het voorlopige correctiebedrag. Indien u kunt onderbouwen dat voor u een andere waarde van toepassing is kunt u dit aanpassen.
</t>
        </r>
      </text>
    </comment>
    <comment ref="L47" authorId="0" shapeId="0" xr:uid="{1FA35F50-4D13-48B8-A56B-FE7F145A22FF}">
      <text>
        <r>
          <rPr>
            <sz val="8"/>
            <color indexed="81"/>
            <rFont val="Tahoma"/>
            <family val="2"/>
          </rPr>
          <t xml:space="preserve">Hier vult u de indexatie in die u verwacht voor de ontwikkeling van de 
ETS-prijs.
</t>
        </r>
      </text>
    </comment>
    <comment ref="H54" authorId="2" shapeId="0" xr:uid="{003EF928-6114-4B7D-917D-4164CFDB6CA6}">
      <text>
        <r>
          <rPr>
            <sz val="9"/>
            <color indexed="81"/>
            <rFont val="Tahoma"/>
            <family val="2"/>
          </rPr>
          <t>Het voorlopige correctiebedrag in deze exploitatieberekening is standaard gelijk aan het voorlopige correctiebedrag (martktprijs product die eventueel vermeerderd is met waarde Garantie van Oorsprong) in de regeling OWE voor de betreffende categorie. Indien u kunt onderbouwen dat een andere set van beginwaarde en indexatie beter aansluit bij een verwachte prijsontwikkeling kunt u dit aanpassen.</t>
        </r>
      </text>
    </comment>
    <comment ref="L54" authorId="2" shapeId="0" xr:uid="{D602FB62-9EE3-4728-B11F-4845354C6EA3}">
      <text>
        <r>
          <rPr>
            <sz val="9"/>
            <color indexed="81"/>
            <rFont val="Tahoma"/>
            <family val="2"/>
          </rPr>
          <t>Hier vult u de indexatie in die u verwacht voor de ontwikkeling van de ETS-prijs.</t>
        </r>
      </text>
    </comment>
    <comment ref="B59" authorId="0" shapeId="0" xr:uid="{A55D0FB1-30B2-4496-8AC2-0F6B0E8FCC86}">
      <text>
        <r>
          <rPr>
            <b/>
            <sz val="8"/>
            <color indexed="81"/>
            <rFont val="Tahoma"/>
            <family val="2"/>
          </rPr>
          <t>Overige exploitatiesubsidies:</t>
        </r>
        <r>
          <rPr>
            <sz val="8"/>
            <color indexed="81"/>
            <rFont val="Tahoma"/>
            <family val="2"/>
          </rPr>
          <t xml:space="preserve">
Hiertoe behoren alle exploitatiesubsidies die u naast OWE subsidie verwacht te ontvangen (kan geen SDE++ zijn). Indien van toepassing vult u hier de naam in van exploitatiesubsidie.  
</t>
        </r>
      </text>
    </comment>
    <comment ref="O59" authorId="0" shapeId="0" xr:uid="{A4D96456-68BC-4EEF-8A0D-C47D5CE4D168}">
      <text>
        <r>
          <rPr>
            <sz val="8"/>
            <color indexed="81"/>
            <rFont val="Tahoma"/>
            <family val="2"/>
          </rPr>
          <t xml:space="preserve">Hier kunt u, indien van toepassing, per jaar het bedrag van de overige exploitatiesubsidies invullen.
</t>
        </r>
      </text>
    </comment>
    <comment ref="B60" authorId="0" shapeId="0" xr:uid="{C7F239A5-FC4D-45ED-827A-8C23CCFDD6C3}">
      <text>
        <r>
          <rPr>
            <b/>
            <sz val="8"/>
            <color indexed="81"/>
            <rFont val="Tahoma"/>
            <family val="2"/>
          </rPr>
          <t>Additionele inkomsten:</t>
        </r>
        <r>
          <rPr>
            <sz val="8"/>
            <color indexed="81"/>
            <rFont val="Tahoma"/>
            <family val="2"/>
          </rPr>
          <t xml:space="preserve">
Hieronder vallen alle opbrengsten die uit de exploitatie van het project verkregen worden, bijvoorbeeld verkoopopbrengst van geleverde diensten (bijv. voor netbalancering) of geleverde producten (bijv. restwarmte of zuurstof). Indien van toepassing kunt u hier het type opbrengsten invullen. 
</t>
        </r>
      </text>
    </comment>
    <comment ref="O60" authorId="0" shapeId="0" xr:uid="{FE18029B-27AD-4334-A54A-F8B31A411FAB}">
      <text>
        <r>
          <rPr>
            <sz val="8"/>
            <color indexed="81"/>
            <rFont val="Tahoma"/>
            <family val="2"/>
          </rPr>
          <t xml:space="preserve">Hier kunt u, indien van toepassing, per jaar het bedrag van de overige additionale inkomsten invullen.
</t>
        </r>
      </text>
    </comment>
    <comment ref="B61" authorId="0" shapeId="0" xr:uid="{7426873D-9A5B-485F-BC5E-EF8EC104F97D}">
      <text>
        <r>
          <rPr>
            <b/>
            <sz val="8"/>
            <color indexed="81"/>
            <rFont val="Tahoma"/>
            <family val="2"/>
          </rPr>
          <t>Additionele inkomsten:</t>
        </r>
        <r>
          <rPr>
            <sz val="8"/>
            <color indexed="81"/>
            <rFont val="Tahoma"/>
            <family val="2"/>
          </rPr>
          <t xml:space="preserve">
Hieronder vallen alle opbrengsten die uit de exploitatie van het project verkregen worden, bijvoorbeeld verkoopopbrengst van geleverde diensten (bijv. voor netbalancering) of geleverde producten (bijv. restwarmte of zuurstof). Indien van toepassing kunt u hier het type opbrengsten invullen. 
</t>
        </r>
      </text>
    </comment>
    <comment ref="O61" authorId="0" shapeId="0" xr:uid="{A3F4D015-1E9C-43C1-A145-35DC1984F445}">
      <text>
        <r>
          <rPr>
            <sz val="8"/>
            <color indexed="81"/>
            <rFont val="Tahoma"/>
            <family val="2"/>
          </rPr>
          <t xml:space="preserve">Hier kunt u, indien van toepassing, per jaar het bedrag van de overige additionale inkomsten invullen.
</t>
        </r>
      </text>
    </comment>
    <comment ref="B62" authorId="0" shapeId="0" xr:uid="{0F6CB6A3-D6F2-4F66-8C2A-F215854F94A2}">
      <text>
        <r>
          <rPr>
            <b/>
            <sz val="8"/>
            <color indexed="81"/>
            <rFont val="Tahoma"/>
            <family val="2"/>
          </rPr>
          <t>Additionele inkomsten:</t>
        </r>
        <r>
          <rPr>
            <sz val="8"/>
            <color indexed="81"/>
            <rFont val="Tahoma"/>
            <family val="2"/>
          </rPr>
          <t xml:space="preserve">
Hieronder vallen alle opbrengsten die uit de exploitatie van het project verkregen worden, bijvoorbeeld verkoopopbrengst van geleverde diensten (bijv. voor netbalancering) of geleverde producten (bijv. restwarmte of zuurstof). Indien van toepassing kunt u hier het type opbrengsten invullen. 
</t>
        </r>
      </text>
    </comment>
    <comment ref="O62" authorId="0" shapeId="0" xr:uid="{4D709AE6-106F-446F-AD8E-AA6056055043}">
      <text>
        <r>
          <rPr>
            <sz val="8"/>
            <color indexed="81"/>
            <rFont val="Tahoma"/>
            <family val="2"/>
          </rPr>
          <t xml:space="preserve">Hier kunt u, indien van toepassing, per jaar het bedrag van de overige additionale inkomsten invullen.
</t>
        </r>
      </text>
    </comment>
    <comment ref="B69" authorId="2" shapeId="0" xr:uid="{8A671653-8A7F-44A4-BAEE-264894F976CF}">
      <text>
        <r>
          <rPr>
            <sz val="9"/>
            <color indexed="81"/>
            <rFont val="Tahoma"/>
            <family val="2"/>
          </rPr>
          <t xml:space="preserve">Er wordt hier een lijst met standaard kostenposten getoond. Deze lijst kunt u aanpassen aan uw specifieke project. 
</t>
        </r>
      </text>
    </comment>
    <comment ref="N69" authorId="0" shapeId="0" xr:uid="{0D24105D-03EB-4563-A6DB-4C8039A2BDCA}">
      <text>
        <r>
          <rPr>
            <sz val="8"/>
            <color indexed="81"/>
            <rFont val="Tahoma"/>
            <family val="2"/>
          </rPr>
          <t xml:space="preserve">In dit invulblok vult u per jaar de bedragen van de verschillende soorten aan operationele kosten in. 
</t>
        </r>
      </text>
    </comment>
    <comment ref="L109" authorId="0" shapeId="0" xr:uid="{306B3295-AB89-4EC2-A889-371D6195B516}">
      <text>
        <r>
          <rPr>
            <b/>
            <sz val="8"/>
            <color indexed="81"/>
            <rFont val="Tahoma"/>
            <family val="2"/>
          </rPr>
          <t>Tarief winstbelasting:</t>
        </r>
        <r>
          <rPr>
            <sz val="8"/>
            <color indexed="81"/>
            <rFont val="Tahoma"/>
            <family val="2"/>
          </rPr>
          <t xml:space="preserve">
Hier vult u het hoge tarief voor de vennootschapsbelasting in, dan wel (als het niet om een rechtspersoon gaat) het tarief in de hoogste schijf voor de inkomstenbelasting. 
Als u niet belastingplichtig bent, stelt u het tarief op 0.</t>
        </r>
      </text>
    </comment>
  </commentList>
</comments>
</file>

<file path=xl/sharedStrings.xml><?xml version="1.0" encoding="utf-8"?>
<sst xmlns="http://schemas.openxmlformats.org/spreadsheetml/2006/main" count="473" uniqueCount="395">
  <si>
    <t>Algemene instructies</t>
  </si>
  <si>
    <t>Compatibiliteit Excelmodel met Microsoft Windows en andere besturingssystemen</t>
  </si>
  <si>
    <t xml:space="preserve">Dit Excelmodel functioneert het beste in combinatie met Microsoft Windows. Bij gebruik van dit Excelmodel op computers met andere besturingssystemen kunnen (compatiliteits)problemen ontstaan. In dat geval wordt u geadviseerd gebruik te maken van een computer met een Windows besturingssysteem. </t>
  </si>
  <si>
    <t>Instructie per tabblad</t>
  </si>
  <si>
    <t xml:space="preserve">Financiering en projectplan </t>
  </si>
  <si>
    <t xml:space="preserve">Productie en afzet </t>
  </si>
  <si>
    <t>Exploitatieberekening</t>
  </si>
  <si>
    <t>Exploitatieberekening en leasing</t>
  </si>
  <si>
    <t xml:space="preserve">Onder 'inkopen en bedrijfskosten' vult u de exploitatiekosten voor het project in.  </t>
  </si>
  <si>
    <t>Ingeval van lease (bij vaste leasetermijnen) vult als aflossingsvorm onder het kopje 'Financiering' annuïteit in.</t>
  </si>
  <si>
    <t>Volledigheid haalbaarheidsstudie</t>
  </si>
  <si>
    <t>Vergeet u niet dit model haalbaarheidsstudie volledig in te vullen en alle verplichte bijlagen mee te sturen die bij deze haalbaarheidsstudie horen. Onvolledige aanvragen kunnen niet in behandeling worden genomen.</t>
  </si>
  <si>
    <t>Disclaimer</t>
  </si>
  <si>
    <t>Hoewel dit Model haalbaarheidsstudie met de grootst mogelijke zorg is samengesteld kan Rijksdienst voor Ondernemend Nederland geen enkele aansprakelijkheid aanvaarden voor eventuele fouten.</t>
  </si>
  <si>
    <t xml:space="preserve">Onderbouwing eigen vermogen en financiering voor alle productie-installaties waarvoor deze aanvrager binnen deze openstellingsronde subsidie aanvraagt </t>
  </si>
  <si>
    <t>Algemene gegevens</t>
  </si>
  <si>
    <t>Naam aanvrager/producent</t>
  </si>
  <si>
    <t xml:space="preserve">Heeft de aanvrager een jaarrekening?  </t>
  </si>
  <si>
    <t>Voor hoeveel productie-installaties vraagt de aanvrager subsidie aan?</t>
  </si>
  <si>
    <t xml:space="preserve">Overzicht van uw aanvraag of aanvragen binnen deze openstellingsronde  </t>
  </si>
  <si>
    <t>Financieringsplan voor alle productie-installaties waarvoor de aanvrager subsidie aanvraagt</t>
  </si>
  <si>
    <t>Totale investeringen voor alle productie-installaties waarvoor de aanvrager subsidie aanvraagt</t>
  </si>
  <si>
    <t xml:space="preserve">Investeringskosten per productie-installatie (€) </t>
  </si>
  <si>
    <t>Totale investeringskosten</t>
  </si>
  <si>
    <t xml:space="preserve">Eigen vermogen en rentedragende financiering bij balansfinanciering  </t>
  </si>
  <si>
    <t>Tekstvak voor toelichtingen aanvrager</t>
  </si>
  <si>
    <t xml:space="preserve">Productieberekening  </t>
  </si>
  <si>
    <t>Naam aanvrager</t>
  </si>
  <si>
    <t xml:space="preserve">Projectnaam </t>
  </si>
  <si>
    <t xml:space="preserve">U hebt gekozen voor de categorie </t>
  </si>
  <si>
    <t>Verwachte productie</t>
  </si>
  <si>
    <t>Onderbouwing energie- of productopbrengst</t>
  </si>
  <si>
    <t>Subsidielooptijd (jaar)</t>
  </si>
  <si>
    <t>Investeringen</t>
  </si>
  <si>
    <t xml:space="preserve">Investeringskosten gespecificeerd op hoofdcomponenten (€) </t>
  </si>
  <si>
    <t>Financiering</t>
  </si>
  <si>
    <t>Eigen vermogen (%)</t>
  </si>
  <si>
    <t>Eigen vermogen (€)</t>
  </si>
  <si>
    <t>Vreemd vermogen (%)</t>
  </si>
  <si>
    <t>Vreemd vermogen (€)</t>
  </si>
  <si>
    <t>Lening</t>
  </si>
  <si>
    <r>
      <t>Bedrag lening (€</t>
    </r>
    <r>
      <rPr>
        <sz val="10"/>
        <color indexed="8"/>
        <rFont val="Arial"/>
        <family val="2"/>
      </rPr>
      <t>)</t>
    </r>
  </si>
  <si>
    <t>Looptijd lening (jaar)</t>
  </si>
  <si>
    <t>Aflossingsvorm</t>
  </si>
  <si>
    <t xml:space="preserve">Rente lening (%) </t>
  </si>
  <si>
    <t>Kalenderjaar of boekjaar</t>
  </si>
  <si>
    <t>Opbrengsten</t>
  </si>
  <si>
    <t>Prijsindexatie marktwaarde (%)</t>
  </si>
  <si>
    <t>Indexatie correctie productprijs (%)</t>
  </si>
  <si>
    <t>Overige opbrengsten (€)</t>
  </si>
  <si>
    <t>Overige exploitatiesubsidies (€)</t>
  </si>
  <si>
    <t>Totaal overige opbrengsten (€)</t>
  </si>
  <si>
    <t>Totale opbrengsten (€)</t>
  </si>
  <si>
    <t>Kosten</t>
  </si>
  <si>
    <t>Garantie en onderhoud</t>
  </si>
  <si>
    <t>Netbeheer</t>
  </si>
  <si>
    <t>Personeelskosten en administratiekosten</t>
  </si>
  <si>
    <t>Administratiekosten</t>
  </si>
  <si>
    <t>Kosten elektriciteitsverbruik van de productieinstallatie</t>
  </si>
  <si>
    <t>Opstalvergoeding (ingeval van activering invullen onder investeringskosten)</t>
  </si>
  <si>
    <t>Monitoringssysteem/telefoon</t>
  </si>
  <si>
    <t>Onroerende zaakbelasting</t>
  </si>
  <si>
    <t>Verzekeringen</t>
  </si>
  <si>
    <t>Reservedelen</t>
  </si>
  <si>
    <t>Afvoerkosten (voor bijvoorbeeld afval)</t>
  </si>
  <si>
    <t>Onvoorzien</t>
  </si>
  <si>
    <t>Afschijftermijn (jaar)</t>
  </si>
  <si>
    <t>Rentelasten annuïteitenlening</t>
  </si>
  <si>
    <t>Aflossingen annuïteitenlening</t>
  </si>
  <si>
    <t>Rentelasten lineaire lening</t>
  </si>
  <si>
    <t>Aflossingen lineaire lening</t>
  </si>
  <si>
    <t>Openstaande leensom lineaire lening</t>
  </si>
  <si>
    <t>jaar looptijd</t>
  </si>
  <si>
    <t>Totale kosten (€)</t>
  </si>
  <si>
    <t>Winst voor belasting (€)</t>
  </si>
  <si>
    <t xml:space="preserve">Overige aftrekbare bedragen (graag toelichten in tekstvak) </t>
  </si>
  <si>
    <t>Toegepaste overige aftrek</t>
  </si>
  <si>
    <t>Nog beschikbare aftrek</t>
  </si>
  <si>
    <t>Verliezen uit verleden</t>
  </si>
  <si>
    <t>Belastbaar inkomen (€)</t>
  </si>
  <si>
    <t>Tarief winstbelasting % invullen afhankelijk van of u IB-plichtig of VPB-plichtig bent</t>
  </si>
  <si>
    <t>Belasting</t>
  </si>
  <si>
    <t>Netto winst (€)</t>
  </si>
  <si>
    <t>Bruto cashflow na belasting exclusief rentelasten (€)</t>
  </si>
  <si>
    <t>Projectrentabiliteit</t>
  </si>
  <si>
    <t>Netto cashflow voor eigen vermogen verschaffer na belasting en na financieringslasten (€)</t>
  </si>
  <si>
    <t>Rendement op eigen vermogen</t>
  </si>
  <si>
    <t>Debt service coverage ratio (DSCR) per jaar</t>
  </si>
  <si>
    <t>Debt service coverage ratio (DSCR)</t>
  </si>
  <si>
    <t>Overzicht bijlagen</t>
  </si>
  <si>
    <t xml:space="preserve">Verplichte bijlagen behorende bij Financiering en projectplan </t>
  </si>
  <si>
    <t>Beschikking investeringssubsidie</t>
  </si>
  <si>
    <t xml:space="preserve">Onderbouwing eigen vermogen aanvrager (in geval van samenwerkingsverband, dan van alle deelnemers)  </t>
  </si>
  <si>
    <t>Gecontracteerd vermogen</t>
  </si>
  <si>
    <t>Gecontracteerde achtergestelde lening</t>
  </si>
  <si>
    <t>Crowdfunding of participaties</t>
  </si>
  <si>
    <t>Onderbouwing financiering</t>
  </si>
  <si>
    <t>Verplichte bijlagen behorende bij Productie en afzet</t>
  </si>
  <si>
    <t>Facultatieve bijlagen voor sterkere haalbaarheidsstudie</t>
  </si>
  <si>
    <t>Onderbouwing investeringskosten</t>
  </si>
  <si>
    <t>Onderbouwing liquiditeit bij grote projecten</t>
  </si>
  <si>
    <t>Thema's hoofdkeuzelijst</t>
  </si>
  <si>
    <t>Warmte</t>
  </si>
  <si>
    <t>Vragen tabblad Financiering_en_projectplan</t>
  </si>
  <si>
    <t>Vraag producent</t>
  </si>
  <si>
    <t>Antwoord bent u producent (1 = ja, 2 = nee)</t>
  </si>
  <si>
    <t>Vraag financiering</t>
  </si>
  <si>
    <t>Projectfinanciering</t>
  </si>
  <si>
    <t>Balansfinanciering</t>
  </si>
  <si>
    <t>Vraag jaarrekening/bedrijfsbalans</t>
  </si>
  <si>
    <t>Ja</t>
  </si>
  <si>
    <t xml:space="preserve">Nee, aanvrager is kleine onderneming </t>
  </si>
  <si>
    <t>Nee, aanvrager is startende onderneming</t>
  </si>
  <si>
    <t>Vraag investeringssubsidie</t>
  </si>
  <si>
    <t>Nee</t>
  </si>
  <si>
    <t>Niet van toepassing</t>
  </si>
  <si>
    <t>Antwoord investeringssubsidie (1 = ja, 2 = nee)</t>
  </si>
  <si>
    <t>Vraag participaties</t>
  </si>
  <si>
    <t>Antwoord participaties (1= ja, 2 = nee)</t>
  </si>
  <si>
    <t>Vragen tabblad Exploitatieberekening</t>
  </si>
  <si>
    <t>Vragen aflossingsvorm lening</t>
  </si>
  <si>
    <t>Annuïteit</t>
  </si>
  <si>
    <t>Lineair</t>
  </si>
  <si>
    <t>Vragen met ja/nee opties</t>
  </si>
  <si>
    <t>Vragen tabblad Productie_en_afzet</t>
  </si>
  <si>
    <t>Tabel voor onderbouwing energie-of productopbrengst</t>
  </si>
  <si>
    <t>Selectie tekstblok energie-of productopbrengst</t>
  </si>
  <si>
    <t xml:space="preserve">Berekening projectrendement en rendement eigen vermogen over de subsidielooptijd </t>
  </si>
  <si>
    <t xml:space="preserve">Toelichting: </t>
  </si>
  <si>
    <t>Bij jaarlijks sterk varierende cashflows en/of het optreden van negatieve cashflows gedurende de subsidielooptijd kan de standaard IR-berekening in Excel mogelijk onjuiste uitkomsten geven. In dat geval kan als indicatie voor het projectrendement en rendement op eigen vermogen gerekend worden met een gemiddelde cashflow over de subsidielooptijd.</t>
  </si>
  <si>
    <t>Berekening projectrendement</t>
  </si>
  <si>
    <t>Bruto cashflows per jaar conform tabblad explotatieberekening</t>
  </si>
  <si>
    <t xml:space="preserve">Standaard IR-berekening </t>
  </si>
  <si>
    <t>Gemiddelde bruto cashfow per jaar over subsidieperiode</t>
  </si>
  <si>
    <t>Aangepaste IR-berekening gemiddelde bruto cashflow</t>
  </si>
  <si>
    <t>Berekening rendement op eigen vermogen</t>
  </si>
  <si>
    <t>Netto cashflows per jaar conform tabblad explotatieberekening</t>
  </si>
  <si>
    <t>Gemiddelde netto cashfow per jaar over subsidieperiode</t>
  </si>
  <si>
    <t>Aangepaste IR-berekening gemiddelde netto cashflow</t>
  </si>
  <si>
    <t>Model haalbaarheidsstudie OWE 2023</t>
  </si>
  <si>
    <t>Deze begroting uitsluitend gebruiken voor de subsidieregeling Opschaling hernieuwbare Waterstofproductie via Elektrolyse (OWE)</t>
  </si>
  <si>
    <t>Aandachtspunten</t>
  </si>
  <si>
    <t>l</t>
  </si>
  <si>
    <t xml:space="preserve">Als bijlage bij het aanvraagformulier moet u onder andere een begroting indienen. Deze begroting dient een gedetailleerd beeld te </t>
  </si>
  <si>
    <t>geven van de kosten van het project waarvoor subsidie wordt aangevraagd.</t>
  </si>
  <si>
    <t>Om te toetsen of uw bedrijf een MKB-onderneming is kunt u gebruik maken van de online MKB-toets op de website van de Europese Commissie:</t>
  </si>
  <si>
    <t>www.rvo.nl/subsidies-regelingen/subsidiespelregels/standaardformulieren/mkb-toets</t>
  </si>
  <si>
    <t xml:space="preserve">Alle kosten dienen per kostencategorie onderbouwd te worden, waar mogelijk met berekeningen en/of offertes. </t>
  </si>
  <si>
    <t>Per kostenpost moet u aangeven in welke projectfase de kosten gemaakt worden. Deze moeten overeenkomen met de fases in het projectplan.</t>
  </si>
  <si>
    <t>Type investeringsproject</t>
  </si>
  <si>
    <t xml:space="preserve">De investeringssteun wordt uitsluitend voor nieuwe installaties toegekend. Er wordt geen steun toegekend of uitgekeerd nadat de installatie in bedrijf is </t>
  </si>
  <si>
    <t xml:space="preserve">genomen en de steun is onafhankelijk van de productie. Daarom dient u een scherpe scheiding aan te brengen tussen het investeringsdeel en het exploitatiedeel </t>
  </si>
  <si>
    <t xml:space="preserve">van uw project. Op het moment dat de elektrolyser waterstof gaat produceren vervallen de kosten als subsidiabel voor investeringssteun en wordt de </t>
  </si>
  <si>
    <t>exploitatiesubsidie van toepassing.</t>
  </si>
  <si>
    <t>kosten uit deze investeringskosten. Dit kan het geval zijn als een extra component  aan een bestaande faciliteit wordt toegevoegd</t>
  </si>
  <si>
    <t>c) voor kleine installaties waar geen vergelijkbaar gangbaar systeem (referentie) voor bestaat, zijn de investeringskosten voor de energie uit</t>
  </si>
  <si>
    <t>hernieuwbare bron ook de subsidiabele projectkosten.</t>
  </si>
  <si>
    <t>A Projectkosten</t>
  </si>
  <si>
    <t>Als projectkosten worden uitsluitend die kostenposten in aanmerking genomen die in deze modelbegroting zijn opgenomen. Voer alleen kosten op die:</t>
  </si>
  <si>
    <t>rechtstreeks zijn toe te rekenen aan het project;</t>
  </si>
  <si>
    <t>voor eigen rekening komen van de aanvrager of de deelnemers in het samenwerkingsverband;</t>
  </si>
  <si>
    <t xml:space="preserve">werkelijk worden gemaakt en betaald ná indiening van de aanvraag.  </t>
  </si>
  <si>
    <t>Geef aan in welke projectfase de kosten gemaakt worden. In het projectplan geeft u aan welke projectfases binnen welke mijlpalen vallen.</t>
  </si>
  <si>
    <t xml:space="preserve">De referentiesituatie betreft een in een Nederland gangbaar systeem, apparaat of techniek dat in technisch opzicht vergelijkbaar is met de beoogde </t>
  </si>
  <si>
    <t xml:space="preserve">investering binnen het project, maar waarmee niet hetzelfde niveau van milieubescherming kan worden bereikt. Alle (investerings)kosten waarover </t>
  </si>
  <si>
    <t xml:space="preserve">subsidie wordt gevraagd dienen aantoonbaar extra te zijn boven op de kosten die van toepassing zijn op een referentiesituatie. </t>
  </si>
  <si>
    <t>B Referentie</t>
  </si>
  <si>
    <t>C Subsidie</t>
  </si>
  <si>
    <t>D Financiering</t>
  </si>
  <si>
    <t>Mijlpalenbegroting</t>
  </si>
  <si>
    <t>U vult de mijlpalenbegroting in ter bepaling van de voorschotten. De mijlpalen moeten overeenkomen met de mijlpalen die opgegeven zijn in het projectplan.</t>
  </si>
  <si>
    <t>In dit overzicht vult u in welke investeringskosten er per mijlpaal gemaakt worden. Ter bepaling van het subsidievoorschot wordt de referentie</t>
  </si>
  <si>
    <t>naar rato van de investeringskosten afgetrokken en vermenigvuldigd met het subsidiepercentage.</t>
  </si>
  <si>
    <t>Projectnummer:</t>
  </si>
  <si>
    <t>Deelnemer:</t>
  </si>
  <si>
    <t>Type onderneming, subsidie</t>
  </si>
  <si>
    <t>Middelgroot bedrijf</t>
  </si>
  <si>
    <t>Groot bedrijf</t>
  </si>
  <si>
    <t>Projecttitel</t>
  </si>
  <si>
    <t>Klein bedrijf</t>
  </si>
  <si>
    <t>Onderdeel A: Totale investeringskosten</t>
  </si>
  <si>
    <t>A1. Gronden en gebouwen</t>
  </si>
  <si>
    <t>Omschrijving kosten</t>
  </si>
  <si>
    <t>Projectfase</t>
  </si>
  <si>
    <t xml:space="preserve">Kosten € </t>
  </si>
  <si>
    <t>totaal</t>
  </si>
  <si>
    <t>A2. Machines en apparatuur</t>
  </si>
  <si>
    <t>A3. Materialen en hulpmiddelen</t>
  </si>
  <si>
    <t>A4. Immateriële activa</t>
  </si>
  <si>
    <t>A5. De aanleg van infrastructuur voor aansluiting van de waterstofproductie-installatie</t>
  </si>
  <si>
    <t>Onderdeel B: Referentie-investering</t>
  </si>
  <si>
    <t>B. Referentie investering</t>
  </si>
  <si>
    <t>MW</t>
  </si>
  <si>
    <t>Totale referentie-investering</t>
  </si>
  <si>
    <t xml:space="preserve">Onderdeel C: Subsidie </t>
  </si>
  <si>
    <t>C1</t>
  </si>
  <si>
    <t>C2</t>
  </si>
  <si>
    <t>B. Referentiesituatie</t>
  </si>
  <si>
    <t>C3</t>
  </si>
  <si>
    <t>Extra investeringskosten (A-B)</t>
  </si>
  <si>
    <t>C4</t>
  </si>
  <si>
    <t>C5</t>
  </si>
  <si>
    <t>Maximale Steun (C3*C4)</t>
  </si>
  <si>
    <t>C6</t>
  </si>
  <si>
    <t>C7</t>
  </si>
  <si>
    <t>Maximale subsidie</t>
  </si>
  <si>
    <t>C8</t>
  </si>
  <si>
    <t>Onderdeel D: Financiering van het project</t>
  </si>
  <si>
    <t>D1</t>
  </si>
  <si>
    <t>Totale investeringskosten (C1)</t>
  </si>
  <si>
    <t>D2</t>
  </si>
  <si>
    <t>Steun door bestuursorganen of Europese Commissie (C6)</t>
  </si>
  <si>
    <t>D3</t>
  </si>
  <si>
    <t>Gevraagde subsidie (C8)</t>
  </si>
  <si>
    <t>D4</t>
  </si>
  <si>
    <t>Nog te financieren (=D1-D2-D3)</t>
  </si>
  <si>
    <t>Ruimte voor toelichting onderdeel A t/m D</t>
  </si>
  <si>
    <t>Deelnemer</t>
  </si>
  <si>
    <t>Mijlpaal 1</t>
  </si>
  <si>
    <t>Mijlpaal 2</t>
  </si>
  <si>
    <t>Mijlpaal 3</t>
  </si>
  <si>
    <t>Mijlpaal 4</t>
  </si>
  <si>
    <t>Mijlpaal 5</t>
  </si>
  <si>
    <t>Mijlpaal 6</t>
  </si>
  <si>
    <t>Mijlpaal 7</t>
  </si>
  <si>
    <t>Mijlpaal 8</t>
  </si>
  <si>
    <t>Mijlpaal 9</t>
  </si>
  <si>
    <t>Mijlpaal 10</t>
  </si>
  <si>
    <t>Totaal</t>
  </si>
  <si>
    <t>Totale investeringskosten per mijlpaal</t>
  </si>
  <si>
    <t>Voorschot 90% (indicatief)</t>
  </si>
  <si>
    <t>Startdatum mijlpaal</t>
  </si>
  <si>
    <t>Einddatum mijlpaal</t>
  </si>
  <si>
    <t>Ruimte voor toelichting</t>
  </si>
  <si>
    <t>Opwek hernieuwbare waterstofproductie via elektrolyse</t>
  </si>
  <si>
    <t xml:space="preserve">Dit betreffen projecten met een nominaal elektrisch inputvermogen tussen 0,5 MW en 50 MW die de opschaling van hernieuwbare waterstof in Nederland bevorderen. </t>
  </si>
  <si>
    <t>a) indien de investering in opwek hernieuwbare waterstof via elektrolyse als een losstaande investering kan worden geïndentificeerd, dan bestaan de subsidiabele</t>
  </si>
  <si>
    <t xml:space="preserve">b) als zonder de subsidie gebruik zou zijn gemaakt van een gangbaar systeem met dezelfde capaciteit qua opwek waterstof dan worden de </t>
  </si>
  <si>
    <t>De hoogte van de extra investeringskosten voor opwek hernieuwbare waterstof via elektrolyse wordt, conform Europese Regelgeving, op de volgende wijze berekend:</t>
  </si>
  <si>
    <t xml:space="preserve">subsidiabele kosten bepaald op grond van het verschil in kosten tussen de investeringskosten voor opwek hernieuwbare waterstof via elektrolyse en de investeringskosten </t>
  </si>
  <si>
    <t xml:space="preserve">voor het gangbare systeem voor opwek waterstof. </t>
  </si>
  <si>
    <t xml:space="preserve">Voor Subsidieregeling opschaling hernieuwbare waterstofproductie via elektrolyse is optie c van toepassing als het nominaal input vermogen lager is dan 30 MW. </t>
  </si>
  <si>
    <t>Bij optie b zijn de referentiekosten standaard bepaald. De subsidiabele investeringskosten volgen bij optie b uit de totale investeringskosten minus referentiekosten.</t>
  </si>
  <si>
    <t xml:space="preserve">Voor de Subsidieregeling opschaling hernieuwbare waterstofproductie via elektrolyse is de referentiesituatie vastgesteld op € 327.500 per MW maal </t>
  </si>
  <si>
    <t>het aantal verwachte jaarlijkse vollasturen van de elektrolyse gedeeld door 8.000</t>
  </si>
  <si>
    <r>
      <t xml:space="preserve">Berekening van de subsidie, dit zijn de (investeringskosten minus de referentiekosten bij </t>
    </r>
    <r>
      <rPr>
        <sz val="13"/>
        <rFont val="Calibri"/>
        <family val="2"/>
      </rPr>
      <t>≥30MW</t>
    </r>
    <r>
      <rPr>
        <sz val="13"/>
        <rFont val="Arial"/>
        <family val="2"/>
      </rPr>
      <t xml:space="preserve">) keer het subsidiepercentage. Daarnaast moet u hier </t>
    </r>
  </si>
  <si>
    <t>opgeven of u nog andere steun ontvangt voor het project. Hieruit volgt de maximale subsidie. Het subsidiebedrag moet u zelf invullen omdat u ook een</t>
  </si>
  <si>
    <t>lager subsidiebedrag kunt aanvragen.</t>
  </si>
  <si>
    <t>Gronden</t>
  </si>
  <si>
    <t>Gebouwen</t>
  </si>
  <si>
    <t>Elektrolyser</t>
  </si>
  <si>
    <t>Elektriciteitsvoorziening</t>
  </si>
  <si>
    <t>Waterzuivering</t>
  </si>
  <si>
    <t>Gas/vloeistofscheiding</t>
  </si>
  <si>
    <t>Gaszuivering incl. gasdroger</t>
  </si>
  <si>
    <t>Compressie in geval van een atmosferisch bedreven elektrolyser</t>
  </si>
  <si>
    <t>Koeling van de installatie</t>
  </si>
  <si>
    <t>Voorzieningen/apparatuur voor aansturing, bemetering en veiligheid</t>
  </si>
  <si>
    <t>Waterstof opslag van max. 24 uur productie</t>
  </si>
  <si>
    <t>Aansluiting op het net of wind-/zonnepark van de waterstofproductie-installatie</t>
  </si>
  <si>
    <t>Waterstofaansluiting van de waterstofproductie-installatie</t>
  </si>
  <si>
    <r>
      <t xml:space="preserve">Batterijopslagsysteem </t>
    </r>
    <r>
      <rPr>
        <i/>
        <sz val="9"/>
        <rFont val="Verdana"/>
        <family val="2"/>
      </rPr>
      <t>(Max. 1 MW en max. 2 MWh per MW inputvermogen elektrolyser)</t>
    </r>
  </si>
  <si>
    <t>Vollasturen</t>
  </si>
  <si>
    <t>Gangbaar systeem opwek waterstof</t>
  </si>
  <si>
    <t>Vollasturen/8000</t>
  </si>
  <si>
    <t>De referentie investering is € 0 als inputvermogen elektrolyser minder is dan 30MW</t>
  </si>
  <si>
    <t>Bedrag/MW x</t>
  </si>
  <si>
    <t>Maximale subsidie percentage</t>
  </si>
  <si>
    <t xml:space="preserve">Dit model is bedoeld ter onderbouwing van de financiële en economische haalbaarheid voor OWE projecten. U voegt de haalbaarheidsstudie toe bij de aanvraag. </t>
  </si>
  <si>
    <t xml:space="preserve">Handleiding haalbaarheidsstudie OWE </t>
  </si>
  <si>
    <r>
      <t xml:space="preserve">In het tabblad  'Financieringsplan' moet u onderbouwen hoe u </t>
    </r>
    <r>
      <rPr>
        <u/>
        <sz val="10"/>
        <rFont val="Arial"/>
        <family val="2"/>
      </rPr>
      <t>alle productie-installaties</t>
    </r>
    <r>
      <rPr>
        <sz val="10"/>
        <rFont val="Arial"/>
        <family val="2"/>
      </rPr>
      <t xml:space="preserve"> waarvoor u in deze openstellingsronde subsidie aanvraagt gaat financieren. Dit wordt aan u gevraagd om te kunnen toetsen of u als aanvrager al uw aanvragen ook daadwerkelijk kunt realiseren.     </t>
    </r>
  </si>
  <si>
    <t>In het tabblad  'Exploitatieberekening' zijn een aantal kentallen reeds ingevuld als u de tabbladen 'Financieringsplan' en 'Productie en afzet' hebt ingevuld. U vult voor de betreffende aanvraag nog de ontbrekende gegegevens in en het model rekent dan zelf het projectrendement, het rendement op eigen vermogen en de Debt Service Coverage Ratio (DSCR) uit.</t>
  </si>
  <si>
    <t>Als u als aanvrager een leasemaatschappij bent, vermeldt u onder 'opbrengsten' de exploitatieopbrengsten uit het project. Hier moet u niet de leasetermijnen invullen.</t>
  </si>
  <si>
    <t>Model haalbaarheidsstudie OWE</t>
  </si>
  <si>
    <t xml:space="preserve">Gevraagde Investeringssubsidie   </t>
  </si>
  <si>
    <t>Elektrolyser met aansluiting gekoppeld aan het elektriciteitsnet</t>
  </si>
  <si>
    <t>Elektrolyser met directe lijn gekoppeld aan een productie-installatie voor opwek elektriciteit uit wind- of zonne-energie</t>
  </si>
  <si>
    <t>Elektrolyser met directe lijn gekoppeld aan een productie-installatie voor opwek elektriciteit uit wind- of zonne-energie als met aansluiting gekoppeld aan het elektriciteitsnet</t>
  </si>
  <si>
    <t>Energetisch omzettingsrendement elektrolyser (o.b.v. HHV)</t>
  </si>
  <si>
    <t>Nominaal elektrisch inputvermogen elektrolyser</t>
  </si>
  <si>
    <t>Vermogen elektrolyser van productie waterstof (o.b.v.  HHV)</t>
  </si>
  <si>
    <r>
      <t xml:space="preserve">%  </t>
    </r>
    <r>
      <rPr>
        <i/>
        <sz val="10"/>
        <rFont val="Verdana"/>
        <family val="2"/>
      </rPr>
      <t>(HHV: afkorting hoge verbrandingswaarde)</t>
    </r>
  </si>
  <si>
    <t>kg</t>
  </si>
  <si>
    <t>MW_H2 (HHV)</t>
  </si>
  <si>
    <t>Subsidiabele productie (kg/jaar)</t>
  </si>
  <si>
    <t>MWh H2</t>
  </si>
  <si>
    <t>kg hernieuwbare waterstof</t>
  </si>
  <si>
    <t>Tekst Elektrolyser met aansluiting gekoppeld aan het elektriciteitsnet</t>
  </si>
  <si>
    <t xml:space="preserve">Ter onderbouwing geeft u een beschrijving van uw productie-installatie voor waterstof en een beschrijving van het wind- en/of zonnepark(en) waarmee voor de waterstofproductie-installatie een stroomcontract (PPA) beoogt te worden afgesloten. Daarnaast geeft u een onderbouwing van de jaarlijkse hoeveelheid waterstofproductie met hierbij een waterstofopbrengstberekening.  
Verder onderbouwt u dat uw waterstof productie-installatie voornamelijk in staat is alleen te produceren op de electriciteitsproductie van het wind- en/of zonnepark(en) waarmee voor de waterstofproductie-installatie een stroomcontract (PPA) beoogt te worden afgesloten. </t>
  </si>
  <si>
    <t>Tekst Elektrolyser met directe lijn gekoppeld aan een productie-installatie voor opwek elektriciteit uit wind- of zonne-energie als met aansluiting gekoppeld aan het elektriciteitsnet</t>
  </si>
  <si>
    <t xml:space="preserve">Ter onderbouwing geeft u een beschrijving van uw productie-installatie voor waterstof en een beschrijving van het wind- en/of zonnepark waaraan de waterstofproductie-installatie direct is gekoppeld. Daarnaast geeft u een onderbouwing van de jaarlijkse hoeveelheid waterstofproductie met hierbij een waterstofopbrengstberekening. 
Verder onderbouwt u dat uw waterstof productie-installatie voornamelijk in staat is alleen te produceren op de electriciteitsproductie van het direct gekoppelde wind- en/of zonnepark 
</t>
  </si>
  <si>
    <t xml:space="preserve">Ter onderbouwing geeft u een beschrijving van uw productie-installatie voor waterstof en een beschrijving van het wind- en/of zonnepark waaraan de waterstofproductie-installatie direct is gekoppeld. Tevens een beschrijving van het wind- en/of zonnepark(en) waarmee voor de waterstofproductie-installatie een stroomcontract (PPA) beoogt te worden afgesloten met tussenkomst van het net. Daarnaast geeft u een onderbouwing van de jaarlijkse hoeveelheid waterstofproductie met hierbij een waterstofopbrengstberekening. 
Verder onderbouwt u dat uw waterstof productie-installatie voornamelijk in staat is alleen te produceren op de electriciteitsproductie van het wind- en/of zonnepark dat direct gekoppeld is en beoogd gecontracteerd voor stroomlevering via het net.
</t>
  </si>
  <si>
    <t xml:space="preserve">Onderbouwing afzet van de geproduceerde waterstof </t>
  </si>
  <si>
    <t>Hoe gaat u de waterstof afzetten? O.a. aan welke markt, afnemers en hoeveelheden? Als u een intentieverklaring of contract voor de afname hebt, kunt u een kopie hiervan toevoegen aan de haalbaarheidsstudie. Als u hier niet over beschikt, maak dan op een andere manier aannemelijk dat u de waterstof af kunt zetten, door bijvoorbeeld concrete samenwerkingsplannen met afnemers toe te voegen aan de haalbaarheidsstudie.</t>
  </si>
  <si>
    <t xml:space="preserve">Nominaal elektrisch input vermogen elektrolyser </t>
  </si>
  <si>
    <t>Elektrisch input vermogen elektrolyser (MW)</t>
  </si>
  <si>
    <t>Andere steun dan de OWE (€)", ingevuld onder tabblad 'Investeringsbegroting'</t>
  </si>
  <si>
    <t>Totaal verwachte opbrengst</t>
  </si>
  <si>
    <t>Opbrengsten productafnemer (€)</t>
  </si>
  <si>
    <t>Opbrengsten OWE</t>
  </si>
  <si>
    <t>Voorlopig correctiebedrag productprijs (€/kg)</t>
  </si>
  <si>
    <t>Verwacht subsidiebedrag per eenheid product (€/kg)</t>
  </si>
  <si>
    <t>Totaal verwachte opbrengst OWE-exploitatiedeel (€/jaar)</t>
  </si>
  <si>
    <t>Addtionele inkomsten  (€)</t>
  </si>
  <si>
    <t>Detailengineering (alleen als uren geactiveerd worden op de balans)</t>
  </si>
  <si>
    <t>Project development  (alleen als geactiveerd wordt op de balans)</t>
  </si>
  <si>
    <t>Leges  (alleen als geactiveerd wordt op de balans)</t>
  </si>
  <si>
    <t>Andere steun door bestuursorganen of Europese Commissie</t>
  </si>
  <si>
    <t>A6. Overige kosten</t>
  </si>
  <si>
    <t>Categorie OWE</t>
  </si>
  <si>
    <t>Hoe financiert u als aanvrager OWE projecten?</t>
  </si>
  <si>
    <t>Overgie kosten</t>
  </si>
  <si>
    <t>Beveiliging</t>
  </si>
  <si>
    <t>Verkoop O2</t>
  </si>
  <si>
    <t>Marktwaarde (€/kg, MWh)</t>
  </si>
  <si>
    <t>Jaarproductie (kg, MWh)</t>
  </si>
  <si>
    <t>Rankingsbedrag euro/MWe</t>
  </si>
  <si>
    <t>Materieel</t>
  </si>
  <si>
    <t>euro/MWe</t>
  </si>
  <si>
    <t>Aantal jaren subsidie-exploitatielooptijd</t>
  </si>
  <si>
    <t>Jaren</t>
  </si>
  <si>
    <t>MW H2 (HHV)</t>
  </si>
  <si>
    <t>Operationele kosten (exclusief afschrijving, rente en belasting) (€)</t>
  </si>
  <si>
    <t>Totale operationele kosten (exclusief afschrijving, rente en belasting) (€)</t>
  </si>
  <si>
    <r>
      <t xml:space="preserve"> euro/kg H</t>
    </r>
    <r>
      <rPr>
        <vertAlign val="subscript"/>
        <sz val="10"/>
        <rFont val="Verdana"/>
        <family val="2"/>
      </rPr>
      <t>2</t>
    </r>
  </si>
  <si>
    <t>Categorie OWE:</t>
  </si>
  <si>
    <t>Investeringsbegroting</t>
  </si>
  <si>
    <t>Afhankelijk van type onderneming</t>
  </si>
  <si>
    <t>MWh (1 kg Waterstof is 0,03932 MWh_HHV)</t>
  </si>
  <si>
    <t>Economische levensduur (jaar)</t>
  </si>
  <si>
    <t>Aantal jaren economische levensduur</t>
  </si>
  <si>
    <t>Afschrijving over economische levensduur</t>
  </si>
  <si>
    <t>Gewogen gemiddelde DSCR berekening afhankelijk van looptijd lening</t>
  </si>
  <si>
    <t>Looptijd lening</t>
  </si>
  <si>
    <t>Waarde DSCR</t>
  </si>
  <si>
    <t>Gemiddelde productie volledig hernieuwbare waterstof per jaar in MWh tijdens subsidieperiode</t>
  </si>
  <si>
    <t>Verwachte gemiddelde jaarlijkse volledig hernieuwbare waterstofproductie tijdens subsidieperiode</t>
  </si>
  <si>
    <t>Verwachte jaarlijkse vollasturen volledig hernieuwbare waterstof tijdens subsidieperiode</t>
  </si>
  <si>
    <t>Verwachte gemiddelde jaarlijkse niet volledig hernieuwbare waterstofproductie tijdens subsidieperiode</t>
  </si>
  <si>
    <t>Gemiddelde productie niet volledig hernieuwbare waterstof per jaar in MWh tijdens subsidieperiode</t>
  </si>
  <si>
    <t>Totale jaarlijkse vollasturen hernieuwbare en niet-hernieuwbare waterstof tijdens subsidieperiode</t>
  </si>
  <si>
    <t>Verwachte gemiddelde jaarlijkse volledig hernieuwbare waterstofproductie na subsidieperiode</t>
  </si>
  <si>
    <t>Gemiddelde productie volledig hernieuwbare waterstof per jaar in MWh na subsidieperiode</t>
  </si>
  <si>
    <t>Verwachte jaarlijkse vollasturen volledig hernieuwbare waterstof na subsidieperiode</t>
  </si>
  <si>
    <t>Verwachte gemiddelde jaarlijkse niet volledig hernieuwbare waterstofproductie na subsidieperiode</t>
  </si>
  <si>
    <t>Gemiddelde productie niet volledig hernieuwbare waterstof per jaar in MWh na subsidieperiode</t>
  </si>
  <si>
    <t>Totale jaarlijkse vollasturen hernieuwbare en niet-hernieuwbare waterstof na subsidieperiode</t>
  </si>
  <si>
    <t>Volledig hernieuwbare waterstofproductie tijdens subsidieperiode</t>
  </si>
  <si>
    <t>Niet volledig hernieuwbare waterstofproductie tijdens subsidieperiode</t>
  </si>
  <si>
    <t>Volledig hernieuwbare waterstofproductie na subsidieperiode</t>
  </si>
  <si>
    <t>Niet volledig hernieuwbare waterstofproductie na subsidieperiode</t>
  </si>
  <si>
    <t>Productie volledig hernieuwbare waterstof tijdens subsidieperiode (kg/jaar)</t>
  </si>
  <si>
    <t>Productie volledig hernieuwbare waterstof tijdens subsidieperiode (MWh/jaar)</t>
  </si>
  <si>
    <t>Productie niet volledig hernieuwbare waterstof tijdens subsidieperiode (kg/jaar)</t>
  </si>
  <si>
    <t>Productie niet volledig hernieuwbare waterstof tijdens subsidieperiode (MWh/jaar)</t>
  </si>
  <si>
    <t>Productie volledig hernieuwbare waterstof na subsidieperiode (kg/jaar)</t>
  </si>
  <si>
    <t>Productie volledig hernieuwbare waterstof na subsidieperiode (MWh/jaar)</t>
  </si>
  <si>
    <t>Productie niet volledig hernieuwbare waterstof na subsidieperiode (kg/jaar)</t>
  </si>
  <si>
    <t>Productie niet volledig hernieuwbare waterstof na subsidieperiode (MWh/jaar)</t>
  </si>
  <si>
    <t>Totale productie tijdens subsidieperiode (kg/jaar)</t>
  </si>
  <si>
    <t>Totale productie tijdens subsidieperiode (MWh/jaar)</t>
  </si>
  <si>
    <t>Aantal vollasturen totale waterstofproductie tijdens subsidieperiode (uur/jaar)</t>
  </si>
  <si>
    <t>Aantal vollasturen volledig hernieuwbare waterstof tijdens subsidieperiode (uur/jaar)</t>
  </si>
  <si>
    <t>Aantal vollasturen volledig hernieuwbare waterstof na subsidieperiode (uur/jaar)</t>
  </si>
  <si>
    <t>Aantal vollasturen totale waterstofproductie na subsidieperiode (uur/jaar)</t>
  </si>
  <si>
    <t>Vermogen elektrolyser van productie waterstof (o.b.v. MW H2 HHV)</t>
  </si>
  <si>
    <t>&lt;= Gegevensblok volgt uit tabblad 'Investeringsbegroting</t>
  </si>
  <si>
    <t>Productie niet-volledig hernieuwbare waterstof tijdens subsidieperiode (kg/jaar)</t>
  </si>
  <si>
    <t>Productie niet-volledig hernieuwbare waterstof na subsidieperiode (kg/jaar)</t>
  </si>
  <si>
    <t>GvO's productie waterstof tijdens subsidieperiode (MWh/jaar)</t>
  </si>
  <si>
    <t>GvO's productie waterstof na subsidieperiode (MWh/jaar)</t>
  </si>
  <si>
    <t>Startdatum realisatie van het project</t>
  </si>
  <si>
    <t>Einddatum realisatie van het project</t>
  </si>
  <si>
    <t>Wordt door RVO ingevuld</t>
  </si>
  <si>
    <t>MWe</t>
  </si>
  <si>
    <t xml:space="preserve">Categorie productie-installatie </t>
  </si>
  <si>
    <t>Gevraagde investeringssubsidie (€)</t>
  </si>
  <si>
    <t>A. Investeringskosten</t>
  </si>
  <si>
    <r>
      <t>Totale investeringskosten (€</t>
    </r>
    <r>
      <rPr>
        <sz val="10"/>
        <rFont val="Calibri"/>
        <family val="2"/>
      </rPr>
      <t>)</t>
    </r>
  </si>
  <si>
    <t>Netto investeringskosten (€)</t>
  </si>
  <si>
    <t xml:space="preserve">Onderdeel D geeft een overzicht van de door u opgegeven reeds ontvangen steun, uw aangevraagde investeringssubsidie en het nog te financieren deel van </t>
  </si>
  <si>
    <t xml:space="preserve">de investeringskosten. </t>
  </si>
  <si>
    <t xml:space="preserve">Let op: Geef in tabblad Financieringsplan aan hoe u dit deel financiert! </t>
  </si>
  <si>
    <t xml:space="preserve">De tabbladen van dit model haalbaarheidsstudie zijn aan elkaar gekoppeld. U vult eerst de tabbladen ‘Proj.gegevens_invest.begroting’ en ‘Mijlpalenbegroting’ in, daarna het tabblad ‘Financieringsplan’ en tenslotte het tabblad ‘Exploitatieberekening’.  </t>
  </si>
  <si>
    <r>
      <t xml:space="preserve">In het tabblad  'Productie en afzet' wordt u gevraagd voor de </t>
    </r>
    <r>
      <rPr>
        <u/>
        <sz val="10"/>
        <rFont val="Arial"/>
        <family val="2"/>
      </rPr>
      <t>betreffende aanvraag</t>
    </r>
    <r>
      <rPr>
        <sz val="10"/>
        <rFont val="Arial"/>
        <family val="2"/>
      </rPr>
      <t xml:space="preserve"> een omschrijving van de beoogde productie-installatie te geven (in het model projectplan kunt u dit beschrijven) met een product- of energieopbrengstberekening. Tevens wordt u gevraagd een onderbouwing te geven van de beoogde toepassing voor de productie-afzet.          </t>
    </r>
  </si>
  <si>
    <t xml:space="preserve">Als u de tabbladen ‘Proj.gegevens_invest.begroting’, Mijlpalenbegroting’, ‘Financieringsplan’ en ‘Exploitatieberekening’ volledig hebt ingevuld, kunt u in het tabblad 'Overzicht bijlagen' de stukken vinden die u in ieder geval met de haalbaarheidsstudie mee moet sturen bij uw subsidieaanvraag in eloket. </t>
  </si>
  <si>
    <t>Voeg een waterstofopbrengstberekening en een onderbouwing toe hoe de aangevraagde subsidiabele volledig hernieuwbare waterstof en de volledige waterstof-productie tijdens subsidieperiode kan voldoen aan de gedelegeerde handelingen.</t>
  </si>
  <si>
    <t xml:space="preserve">Totale investeringskosten (€) </t>
  </si>
  <si>
    <t xml:space="preserve">Aangevraagde investeringssubsidiedeel OWE, ingevuld onder tabblad 'Investeringsbegroting' (€) </t>
  </si>
  <si>
    <t xml:space="preserve">Netto investeringskosten (€) </t>
  </si>
  <si>
    <t>Eigen vermogen en vreemd vermogen in relatie tot netto investeringskosten</t>
  </si>
  <si>
    <t>Aangevraagde productieprijs OWE (€/kg)</t>
  </si>
  <si>
    <r>
      <t>Aangevraagde productieprijs in euro/kg H</t>
    </r>
    <r>
      <rPr>
        <vertAlign val="subscript"/>
        <sz val="11"/>
        <rFont val="Verdana"/>
        <family val="2"/>
      </rPr>
      <t>2</t>
    </r>
    <r>
      <rPr>
        <sz val="11"/>
        <rFont val="Verdana"/>
        <family val="2"/>
      </rPr>
      <t xml:space="preserve"> hernieuwbaar</t>
    </r>
  </si>
  <si>
    <r>
      <t>Aangevraagd subsidiebedrag euro/kg H</t>
    </r>
    <r>
      <rPr>
        <vertAlign val="subscript"/>
        <sz val="11"/>
        <rFont val="Verdana"/>
        <family val="2"/>
      </rPr>
      <t xml:space="preserve">2 </t>
    </r>
    <r>
      <rPr>
        <sz val="11"/>
        <rFont val="Verdana"/>
        <family val="2"/>
      </rPr>
      <t>(</t>
    </r>
    <r>
      <rPr>
        <i/>
        <sz val="11"/>
        <rFont val="Verdana"/>
        <family val="2"/>
      </rPr>
      <t>mag niet hoger zijn dan 9 euro/kg H</t>
    </r>
    <r>
      <rPr>
        <i/>
        <vertAlign val="subscript"/>
        <sz val="11"/>
        <rFont val="Verdana"/>
        <family val="2"/>
      </rPr>
      <t>2</t>
    </r>
    <r>
      <rPr>
        <sz val="11"/>
        <rFont val="Verdana"/>
        <family val="2"/>
      </rPr>
      <t xml:space="preserve">) </t>
    </r>
  </si>
  <si>
    <t>Versie november 2023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</si>
</sst>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0.0"/>
    <numFmt numFmtId="165" formatCode="#,##0.000"/>
    <numFmt numFmtId="166" formatCode="0.000"/>
    <numFmt numFmtId="167" formatCode="0.0000"/>
    <numFmt numFmtId="168" formatCode="0.0%"/>
    <numFmt numFmtId="169" formatCode="_-* #,##0_-;_-* #,##0\-;_-* &quot;-&quot;??_-;_-@_-"/>
    <numFmt numFmtId="170" formatCode="#,##0.0000"/>
    <numFmt numFmtId="171" formatCode="#,##0.00_-"/>
    <numFmt numFmtId="172" formatCode="_-* #,##0_-;_-* #,##0\-;_-* &quot;-&quot;_-;_-@_-"/>
    <numFmt numFmtId="173" formatCode="dd\ mmmm\ yyyy"/>
    <numFmt numFmtId="174" formatCode="_-* #,##0.00_-;_-* #,##0.00\-;_-* &quot;-&quot;??_-;_-@_-"/>
    <numFmt numFmtId="175" formatCode="_-&quot;€&quot;\ * #,##0.00_-;_-&quot;€&quot;\ * #,##0.00\-;_-&quot;€&quot;\ * &quot;-&quot;??_-;_-@_-"/>
    <numFmt numFmtId="176" formatCode="_-&quot;€&quot;\ * #,##0_-;_-&quot;€&quot;\ * #,##0\-;_-&quot;€&quot;\ * &quot;-&quot;??_-;_-@_-"/>
    <numFmt numFmtId="177" formatCode="_ [$€-413]\ * #,##0_ ;_ [$€-413]\ * \-#,##0_ ;_ [$€-413]\ * &quot;-&quot;??_ ;_ @_ "/>
    <numFmt numFmtId="178" formatCode="#,##0_-"/>
    <numFmt numFmtId="179" formatCode="_-&quot;€&quot;\ * #,##0_-;_-&quot;€&quot;\ * #,##0\-;_-&quot;€&quot;\ * &quot;0&quot;??_-;_-@_-"/>
    <numFmt numFmtId="180" formatCode="&quot;€&quot;\ #,##0_-"/>
    <numFmt numFmtId="181" formatCode="#,##0.00_ ;\-#,##0.00\ "/>
  </numFmts>
  <fonts count="85" x14ac:knownFonts="1">
    <font>
      <sz val="11"/>
      <color theme="1"/>
      <name val="Calibri"/>
      <family val="2"/>
      <scheme val="minor"/>
    </font>
    <font>
      <sz val="11"/>
      <color theme="1"/>
      <name val="Calibri"/>
      <family val="2"/>
      <scheme val="minor"/>
    </font>
    <font>
      <u/>
      <sz val="11"/>
      <color theme="10"/>
      <name val="Calibri"/>
      <family val="2"/>
      <scheme val="minor"/>
    </font>
    <font>
      <b/>
      <sz val="28"/>
      <name val="Arial"/>
      <family val="2"/>
    </font>
    <font>
      <b/>
      <sz val="14"/>
      <name val="Arial"/>
      <family val="2"/>
    </font>
    <font>
      <sz val="10"/>
      <name val="Arial"/>
      <family val="2"/>
    </font>
    <font>
      <sz val="10"/>
      <name val="Calibri"/>
      <family val="2"/>
    </font>
    <font>
      <b/>
      <sz val="12"/>
      <color rgb="FFFF0000"/>
      <name val="Arial"/>
      <family val="2"/>
    </font>
    <font>
      <b/>
      <sz val="10"/>
      <name val="Arial"/>
      <family val="2"/>
    </font>
    <font>
      <u/>
      <sz val="10"/>
      <name val="Arial"/>
      <family val="2"/>
    </font>
    <font>
      <b/>
      <i/>
      <sz val="10"/>
      <name val="Arial"/>
      <family val="2"/>
    </font>
    <font>
      <b/>
      <sz val="10"/>
      <color rgb="FFFF0000"/>
      <name val="Arial"/>
      <family val="2"/>
    </font>
    <font>
      <b/>
      <sz val="36"/>
      <name val="Arial"/>
      <family val="2"/>
    </font>
    <font>
      <b/>
      <sz val="16"/>
      <name val="Arial"/>
      <family val="2"/>
    </font>
    <font>
      <sz val="12"/>
      <color theme="1"/>
      <name val="Arial"/>
      <family val="2"/>
    </font>
    <font>
      <sz val="10"/>
      <color rgb="FFFF0000"/>
      <name val="Arial"/>
      <family val="2"/>
    </font>
    <font>
      <b/>
      <sz val="11"/>
      <name val="Arial"/>
      <family val="2"/>
    </font>
    <font>
      <b/>
      <sz val="9"/>
      <color indexed="81"/>
      <name val="Tahoma"/>
      <family val="2"/>
    </font>
    <font>
      <sz val="9"/>
      <color indexed="81"/>
      <name val="Tahoma"/>
      <family val="2"/>
    </font>
    <font>
      <sz val="8"/>
      <color indexed="81"/>
      <name val="Tahoma"/>
      <family val="2"/>
    </font>
    <font>
      <b/>
      <sz val="8"/>
      <color indexed="81"/>
      <name val="Tahoma"/>
      <family val="2"/>
    </font>
    <font>
      <sz val="9"/>
      <name val="Arial"/>
      <family val="2"/>
    </font>
    <font>
      <b/>
      <sz val="12"/>
      <name val="Arial"/>
      <family val="2"/>
    </font>
    <font>
      <sz val="11"/>
      <name val="Arial"/>
      <family val="2"/>
    </font>
    <font>
      <b/>
      <sz val="20"/>
      <color rgb="FFFF0000"/>
      <name val="Arial"/>
      <family val="2"/>
    </font>
    <font>
      <b/>
      <u/>
      <sz val="10"/>
      <name val="Arial"/>
      <family val="2"/>
    </font>
    <font>
      <b/>
      <sz val="12"/>
      <color rgb="FFFFC000"/>
      <name val="Arial"/>
      <family val="2"/>
    </font>
    <font>
      <sz val="12"/>
      <color rgb="FFFFC000"/>
      <name val="Arial"/>
      <family val="2"/>
    </font>
    <font>
      <sz val="12"/>
      <name val="Arial"/>
      <family val="2"/>
    </font>
    <font>
      <b/>
      <sz val="10"/>
      <name val="Calibri"/>
      <family val="2"/>
    </font>
    <font>
      <sz val="10"/>
      <color theme="1"/>
      <name val="Arial"/>
      <family val="2"/>
    </font>
    <font>
      <sz val="10"/>
      <color indexed="8"/>
      <name val="Arial"/>
      <family val="2"/>
    </font>
    <font>
      <b/>
      <sz val="14"/>
      <color rgb="FFFF0000"/>
      <name val="Arial"/>
      <family val="2"/>
    </font>
    <font>
      <b/>
      <sz val="26"/>
      <name val="Arial"/>
      <family val="2"/>
    </font>
    <font>
      <i/>
      <sz val="11"/>
      <name val="Arial"/>
      <family val="2"/>
    </font>
    <font>
      <sz val="10"/>
      <color indexed="9"/>
      <name val="Arial"/>
      <family val="2"/>
    </font>
    <font>
      <sz val="10"/>
      <name val="Arial"/>
      <family val="2"/>
    </font>
    <font>
      <b/>
      <sz val="18"/>
      <name val="Arial"/>
      <family val="2"/>
    </font>
    <font>
      <sz val="18"/>
      <name val="Arial"/>
      <family val="2"/>
    </font>
    <font>
      <sz val="12"/>
      <color indexed="9"/>
      <name val="Arial"/>
      <family val="2"/>
    </font>
    <font>
      <b/>
      <sz val="12"/>
      <color indexed="9"/>
      <name val="Arial"/>
      <family val="2"/>
    </font>
    <font>
      <sz val="12"/>
      <color indexed="22"/>
      <name val="Wingdings"/>
      <charset val="2"/>
    </font>
    <font>
      <sz val="12"/>
      <color indexed="22"/>
      <name val="Arial"/>
      <family val="2"/>
    </font>
    <font>
      <u/>
      <sz val="7.5"/>
      <color indexed="12"/>
      <name val="Times New Roman"/>
      <family val="1"/>
    </font>
    <font>
      <u/>
      <sz val="12"/>
      <color indexed="12"/>
      <name val="Arial"/>
      <family val="2"/>
    </font>
    <font>
      <sz val="10"/>
      <name val="Times New Roman"/>
      <family val="1"/>
    </font>
    <font>
      <b/>
      <sz val="13"/>
      <color indexed="9"/>
      <name val="Arial"/>
      <family val="2"/>
    </font>
    <font>
      <sz val="13"/>
      <color indexed="9"/>
      <name val="Arial"/>
      <family val="2"/>
    </font>
    <font>
      <sz val="13"/>
      <name val="Arial"/>
      <family val="2"/>
    </font>
    <font>
      <i/>
      <sz val="12"/>
      <name val="Arial"/>
      <family val="2"/>
    </font>
    <font>
      <sz val="11"/>
      <name val="Verdana"/>
      <family val="2"/>
    </font>
    <font>
      <b/>
      <sz val="11"/>
      <name val="Verdana"/>
      <family val="2"/>
    </font>
    <font>
      <i/>
      <sz val="11"/>
      <name val="Verdana"/>
      <family val="2"/>
    </font>
    <font>
      <b/>
      <sz val="10"/>
      <name val="Verdana"/>
      <family val="2"/>
    </font>
    <font>
      <sz val="11"/>
      <color indexed="9"/>
      <name val="Verdana"/>
      <family val="2"/>
    </font>
    <font>
      <sz val="10"/>
      <name val="Verdana"/>
      <family val="2"/>
    </font>
    <font>
      <b/>
      <sz val="11"/>
      <color indexed="9"/>
      <name val="Verdana"/>
      <family val="2"/>
    </font>
    <font>
      <sz val="11"/>
      <color rgb="FF000000"/>
      <name val="Calibri"/>
      <family val="2"/>
    </font>
    <font>
      <sz val="11"/>
      <color rgb="FFFF0000"/>
      <name val="Verdana"/>
      <family val="2"/>
    </font>
    <font>
      <b/>
      <sz val="11"/>
      <color rgb="FFFF0000"/>
      <name val="Verdana"/>
      <family val="2"/>
    </font>
    <font>
      <sz val="10"/>
      <color indexed="55"/>
      <name val="Arial"/>
      <family val="2"/>
    </font>
    <font>
      <b/>
      <sz val="14"/>
      <name val="Verdana"/>
      <family val="2"/>
    </font>
    <font>
      <b/>
      <sz val="9"/>
      <name val="Verdana"/>
      <family val="2"/>
    </font>
    <font>
      <sz val="9"/>
      <name val="Verdana"/>
      <family val="2"/>
    </font>
    <font>
      <sz val="9"/>
      <name val="Calibri"/>
      <family val="2"/>
      <scheme val="minor"/>
    </font>
    <font>
      <b/>
      <sz val="16"/>
      <color indexed="9"/>
      <name val="Arial"/>
      <family val="2"/>
    </font>
    <font>
      <i/>
      <sz val="11"/>
      <color indexed="9"/>
      <name val="Arial"/>
      <family val="2"/>
    </font>
    <font>
      <b/>
      <i/>
      <sz val="11"/>
      <color indexed="9"/>
      <name val="Arial"/>
      <family val="2"/>
    </font>
    <font>
      <sz val="11"/>
      <color indexed="9"/>
      <name val="Arial"/>
      <family val="2"/>
    </font>
    <font>
      <sz val="13"/>
      <name val="Calibri"/>
      <family val="2"/>
    </font>
    <font>
      <i/>
      <sz val="9"/>
      <name val="Verdana"/>
      <family val="2"/>
    </font>
    <font>
      <i/>
      <sz val="10"/>
      <name val="Verdana"/>
      <family val="2"/>
    </font>
    <font>
      <i/>
      <sz val="10"/>
      <name val="Arial"/>
      <family val="2"/>
    </font>
    <font>
      <i/>
      <sz val="11"/>
      <color theme="1"/>
      <name val="Calibri"/>
      <family val="2"/>
      <scheme val="minor"/>
    </font>
    <font>
      <sz val="12"/>
      <name val="Wingdings"/>
      <charset val="2"/>
    </font>
    <font>
      <sz val="8"/>
      <name val="Calibri"/>
      <family val="2"/>
      <scheme val="minor"/>
    </font>
    <font>
      <vertAlign val="subscript"/>
      <sz val="10"/>
      <name val="Verdana"/>
      <family val="2"/>
    </font>
    <font>
      <sz val="11"/>
      <name val="Calibri"/>
      <family val="2"/>
      <scheme val="minor"/>
    </font>
    <font>
      <sz val="12"/>
      <color rgb="FFFF0000"/>
      <name val="Arial"/>
      <family val="2"/>
    </font>
    <font>
      <b/>
      <i/>
      <sz val="11"/>
      <name val="Verdana"/>
      <family val="2"/>
    </font>
    <font>
      <sz val="9"/>
      <color indexed="81"/>
      <name val="Tahoma"/>
      <charset val="1"/>
    </font>
    <font>
      <sz val="10"/>
      <color theme="1"/>
      <name val="Calibri"/>
      <family val="2"/>
      <scheme val="minor"/>
    </font>
    <font>
      <b/>
      <sz val="11"/>
      <color theme="1"/>
      <name val="Calibri"/>
      <family val="2"/>
      <scheme val="minor"/>
    </font>
    <font>
      <vertAlign val="subscript"/>
      <sz val="11"/>
      <name val="Verdana"/>
      <family val="2"/>
    </font>
    <font>
      <i/>
      <vertAlign val="subscript"/>
      <sz val="11"/>
      <name val="Verdana"/>
      <family val="2"/>
    </font>
  </fonts>
  <fills count="8">
    <fill>
      <patternFill patternType="none"/>
    </fill>
    <fill>
      <patternFill patternType="gray125"/>
    </fill>
    <fill>
      <patternFill patternType="solid">
        <fgColor rgb="FFB7DEE8"/>
        <bgColor indexed="64"/>
      </patternFill>
    </fill>
    <fill>
      <patternFill patternType="solid">
        <fgColor theme="0"/>
        <bgColor indexed="64"/>
      </patternFill>
    </fill>
    <fill>
      <patternFill patternType="solid">
        <fgColor rgb="FFFFC000"/>
        <bgColor indexed="64"/>
      </patternFill>
    </fill>
    <fill>
      <patternFill patternType="solid">
        <fgColor theme="2"/>
        <bgColor indexed="64"/>
      </patternFill>
    </fill>
    <fill>
      <patternFill patternType="solid">
        <fgColor theme="2" tint="-9.9978637043366805E-2"/>
        <bgColor indexed="64"/>
      </patternFill>
    </fill>
    <fill>
      <patternFill patternType="solid">
        <fgColor theme="1"/>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double">
        <color indexed="64"/>
      </top>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6" fillId="0" borderId="0"/>
    <xf numFmtId="0" fontId="43" fillId="0" borderId="0" applyNumberFormat="0" applyFill="0" applyBorder="0" applyAlignment="0" applyProtection="0">
      <alignment vertical="top"/>
      <protection locked="0"/>
    </xf>
    <xf numFmtId="0" fontId="45" fillId="0" borderId="0"/>
    <xf numFmtId="9"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cellStyleXfs>
  <cellXfs count="595">
    <xf numFmtId="0" fontId="0" fillId="0" borderId="0" xfId="0"/>
    <xf numFmtId="0" fontId="4" fillId="2" borderId="0" xfId="0" applyFont="1" applyFill="1" applyAlignment="1">
      <alignment horizontal="left" vertical="top" wrapText="1"/>
    </xf>
    <xf numFmtId="0" fontId="0" fillId="2" borderId="0" xfId="0" applyFill="1" applyAlignment="1">
      <alignment horizontal="left" vertical="top" wrapText="1"/>
    </xf>
    <xf numFmtId="0" fontId="5" fillId="2" borderId="0" xfId="0" applyFont="1" applyFill="1" applyAlignment="1">
      <alignment horizontal="left" vertical="top" wrapText="1"/>
    </xf>
    <xf numFmtId="0" fontId="0" fillId="2" borderId="0" xfId="0" applyFill="1"/>
    <xf numFmtId="3" fontId="8" fillId="2" borderId="0" xfId="0" applyNumberFormat="1" applyFont="1" applyFill="1" applyAlignment="1">
      <alignment horizontal="right"/>
    </xf>
    <xf numFmtId="3" fontId="5" fillId="3" borderId="5" xfId="0" applyNumberFormat="1" applyFont="1" applyFill="1" applyBorder="1" applyProtection="1">
      <protection locked="0"/>
    </xf>
    <xf numFmtId="0" fontId="5" fillId="2" borderId="0" xfId="0" applyFont="1" applyFill="1"/>
    <xf numFmtId="3" fontId="0" fillId="2" borderId="0" xfId="0" applyNumberFormat="1" applyFill="1"/>
    <xf numFmtId="49" fontId="5" fillId="2" borderId="0" xfId="0" applyNumberFormat="1" applyFont="1" applyFill="1"/>
    <xf numFmtId="164" fontId="5" fillId="2" borderId="0" xfId="0" applyNumberFormat="1" applyFont="1" applyFill="1"/>
    <xf numFmtId="0" fontId="3" fillId="2" borderId="0" xfId="0" applyFont="1" applyFill="1" applyAlignment="1">
      <alignment horizontal="left" vertical="top" wrapText="1"/>
    </xf>
    <xf numFmtId="49" fontId="4" fillId="2" borderId="0" xfId="0" applyNumberFormat="1" applyFont="1" applyFill="1" applyAlignment="1">
      <alignment horizontal="left" vertical="center" wrapText="1"/>
    </xf>
    <xf numFmtId="0" fontId="4" fillId="2" borderId="0" xfId="0" applyFont="1" applyFill="1" applyAlignment="1">
      <alignment horizontal="left" vertical="center" wrapText="1"/>
    </xf>
    <xf numFmtId="49" fontId="2" fillId="2" borderId="0" xfId="2" quotePrefix="1" applyNumberFormat="1" applyFill="1" applyAlignment="1">
      <alignment wrapText="1"/>
    </xf>
    <xf numFmtId="0" fontId="7" fillId="2" borderId="0" xfId="0" applyFont="1" applyFill="1" applyAlignment="1">
      <alignment horizontal="left"/>
    </xf>
    <xf numFmtId="0" fontId="8" fillId="2" borderId="0" xfId="0" applyFont="1" applyFill="1" applyAlignment="1">
      <alignment horizontal="left" vertical="top" wrapText="1"/>
    </xf>
    <xf numFmtId="0" fontId="10" fillId="2" borderId="0" xfId="0" applyFont="1" applyFill="1" applyAlignment="1">
      <alignment horizontal="left" vertical="top" wrapText="1"/>
    </xf>
    <xf numFmtId="0" fontId="11" fillId="2" borderId="0" xfId="0" applyFont="1" applyFill="1" applyAlignment="1">
      <alignment horizontal="left" vertical="top" wrapText="1"/>
    </xf>
    <xf numFmtId="0" fontId="3" fillId="2" borderId="0" xfId="0" applyFont="1" applyFill="1" applyAlignment="1">
      <alignment vertical="center"/>
    </xf>
    <xf numFmtId="0" fontId="12" fillId="2" borderId="0" xfId="0" applyFont="1" applyFill="1"/>
    <xf numFmtId="0" fontId="4" fillId="2" borderId="0" xfId="0" applyFont="1" applyFill="1"/>
    <xf numFmtId="0" fontId="13" fillId="2" borderId="0" xfId="0" applyFont="1" applyFill="1"/>
    <xf numFmtId="0" fontId="8" fillId="2" borderId="0" xfId="0" applyFont="1" applyFill="1"/>
    <xf numFmtId="0" fontId="8" fillId="2" borderId="0" xfId="0" applyFont="1" applyFill="1" applyAlignment="1">
      <alignment vertical="top"/>
    </xf>
    <xf numFmtId="164" fontId="0" fillId="2" borderId="0" xfId="0" applyNumberFormat="1" applyFill="1"/>
    <xf numFmtId="0" fontId="15" fillId="2" borderId="0" xfId="0" applyFont="1" applyFill="1"/>
    <xf numFmtId="3" fontId="8" fillId="2" borderId="0" xfId="0" applyNumberFormat="1" applyFont="1" applyFill="1"/>
    <xf numFmtId="164" fontId="8" fillId="2" borderId="0" xfId="0" applyNumberFormat="1" applyFont="1" applyFill="1"/>
    <xf numFmtId="0" fontId="22" fillId="2" borderId="0" xfId="0" applyFont="1" applyFill="1"/>
    <xf numFmtId="0" fontId="5" fillId="2" borderId="0" xfId="0" applyFont="1" applyFill="1" applyAlignment="1">
      <alignment horizontal="left"/>
    </xf>
    <xf numFmtId="3" fontId="5" fillId="2" borderId="0" xfId="0" applyNumberFormat="1" applyFont="1" applyFill="1"/>
    <xf numFmtId="0" fontId="24" fillId="2" borderId="0" xfId="0" applyFont="1" applyFill="1"/>
    <xf numFmtId="1" fontId="5" fillId="2" borderId="0" xfId="0" applyNumberFormat="1" applyFont="1" applyFill="1" applyAlignment="1">
      <alignment horizontal="right"/>
    </xf>
    <xf numFmtId="166" fontId="0" fillId="2" borderId="0" xfId="0" applyNumberFormat="1" applyFill="1"/>
    <xf numFmtId="0" fontId="25" fillId="2" borderId="0" xfId="0" applyFont="1" applyFill="1"/>
    <xf numFmtId="1" fontId="5" fillId="2" borderId="0" xfId="0" applyNumberFormat="1" applyFont="1" applyFill="1"/>
    <xf numFmtId="0" fontId="22" fillId="2" borderId="0" xfId="0" applyFont="1" applyFill="1" applyAlignment="1">
      <alignment vertical="center"/>
    </xf>
    <xf numFmtId="0" fontId="26" fillId="2" borderId="0" xfId="0" applyFont="1" applyFill="1" applyAlignment="1">
      <alignment vertical="center"/>
    </xf>
    <xf numFmtId="3" fontId="28" fillId="2" borderId="0" xfId="0" applyNumberFormat="1" applyFont="1" applyFill="1" applyAlignment="1">
      <alignment vertical="center"/>
    </xf>
    <xf numFmtId="3" fontId="22" fillId="2" borderId="0" xfId="1" applyNumberFormat="1" applyFont="1" applyFill="1" applyBorder="1" applyAlignment="1" applyProtection="1">
      <alignment vertical="center"/>
    </xf>
    <xf numFmtId="169" fontId="0" fillId="2" borderId="0" xfId="0" applyNumberFormat="1" applyFill="1"/>
    <xf numFmtId="2" fontId="8" fillId="2" borderId="0" xfId="0" applyNumberFormat="1" applyFont="1" applyFill="1" applyAlignment="1">
      <alignment horizontal="right"/>
    </xf>
    <xf numFmtId="0" fontId="15" fillId="2" borderId="6" xfId="0" applyFont="1" applyFill="1" applyBorder="1" applyAlignment="1">
      <alignment wrapText="1"/>
    </xf>
    <xf numFmtId="0" fontId="15" fillId="2" borderId="0" xfId="0" applyFont="1" applyFill="1" applyAlignment="1">
      <alignment wrapText="1"/>
    </xf>
    <xf numFmtId="0" fontId="8" fillId="2" borderId="0" xfId="0" applyFont="1" applyFill="1" applyAlignment="1">
      <alignment horizontal="left"/>
    </xf>
    <xf numFmtId="0" fontId="15" fillId="2" borderId="6" xfId="0" applyFont="1" applyFill="1" applyBorder="1"/>
    <xf numFmtId="0" fontId="15" fillId="2" borderId="4" xfId="0" applyFont="1" applyFill="1" applyBorder="1"/>
    <xf numFmtId="0" fontId="15" fillId="2" borderId="5" xfId="0" applyFont="1" applyFill="1" applyBorder="1"/>
    <xf numFmtId="0" fontId="15" fillId="2" borderId="15" xfId="0" applyFont="1" applyFill="1" applyBorder="1"/>
    <xf numFmtId="0" fontId="15" fillId="2" borderId="6" xfId="0" applyFont="1" applyFill="1" applyBorder="1" applyAlignment="1">
      <alignment vertical="top" wrapText="1"/>
    </xf>
    <xf numFmtId="0" fontId="15" fillId="2" borderId="4" xfId="0" applyFont="1" applyFill="1" applyBorder="1" applyAlignment="1">
      <alignment vertical="top"/>
    </xf>
    <xf numFmtId="0" fontId="15" fillId="2" borderId="5" xfId="0" applyFont="1" applyFill="1" applyBorder="1" applyAlignment="1">
      <alignment vertical="top"/>
    </xf>
    <xf numFmtId="164" fontId="15" fillId="2" borderId="5" xfId="0" applyNumberFormat="1" applyFont="1" applyFill="1" applyBorder="1"/>
    <xf numFmtId="164" fontId="15" fillId="2" borderId="4" xfId="0" applyNumberFormat="1" applyFont="1" applyFill="1" applyBorder="1"/>
    <xf numFmtId="166" fontId="15" fillId="2" borderId="5" xfId="0" applyNumberFormat="1" applyFont="1" applyFill="1" applyBorder="1"/>
    <xf numFmtId="3" fontId="15" fillId="2" borderId="5" xfId="0" applyNumberFormat="1" applyFont="1" applyFill="1" applyBorder="1"/>
    <xf numFmtId="3" fontId="15" fillId="2" borderId="15" xfId="0" applyNumberFormat="1" applyFont="1" applyFill="1" applyBorder="1"/>
    <xf numFmtId="0" fontId="8" fillId="0" borderId="0" xfId="0" applyFont="1"/>
    <xf numFmtId="0" fontId="5" fillId="0" borderId="0" xfId="0" applyFont="1"/>
    <xf numFmtId="0" fontId="6" fillId="0" borderId="0" xfId="0" applyFont="1"/>
    <xf numFmtId="0" fontId="5" fillId="0" borderId="0" xfId="0" applyFont="1" applyAlignment="1">
      <alignment horizontal="left"/>
    </xf>
    <xf numFmtId="0" fontId="8" fillId="0" borderId="0" xfId="0" applyFont="1" applyAlignment="1">
      <alignment horizontal="right"/>
    </xf>
    <xf numFmtId="0" fontId="11" fillId="0" borderId="0" xfId="0" applyFont="1"/>
    <xf numFmtId="0" fontId="5" fillId="0" borderId="0" xfId="0" applyFont="1" applyAlignment="1">
      <alignment vertical="top" wrapText="1"/>
    </xf>
    <xf numFmtId="0" fontId="13" fillId="0" borderId="0" xfId="0" applyFont="1"/>
    <xf numFmtId="0" fontId="4" fillId="0" borderId="0" xfId="0" applyFont="1" applyAlignment="1">
      <alignment vertical="top" wrapText="1"/>
    </xf>
    <xf numFmtId="0" fontId="8" fillId="0" borderId="0" xfId="0" applyFont="1" applyAlignment="1">
      <alignment vertical="top" wrapText="1"/>
    </xf>
    <xf numFmtId="0" fontId="0" fillId="0" borderId="0" xfId="0" applyAlignment="1">
      <alignment vertical="top" wrapText="1"/>
    </xf>
    <xf numFmtId="0" fontId="15" fillId="0" borderId="0" xfId="0" applyFont="1"/>
    <xf numFmtId="0" fontId="4" fillId="0" borderId="0" xfId="0" applyFont="1"/>
    <xf numFmtId="0" fontId="15" fillId="0" borderId="0" xfId="0" applyFont="1" applyAlignment="1">
      <alignment wrapText="1"/>
    </xf>
    <xf numFmtId="0" fontId="0" fillId="0" borderId="0" xfId="0" applyAlignment="1">
      <alignment wrapText="1"/>
    </xf>
    <xf numFmtId="0" fontId="22" fillId="0" borderId="0" xfId="0" applyFont="1" applyAlignment="1">
      <alignment wrapText="1"/>
    </xf>
    <xf numFmtId="0" fontId="0" fillId="0" borderId="0" xfId="0" applyAlignment="1">
      <alignment vertical="top"/>
    </xf>
    <xf numFmtId="0" fontId="33" fillId="2" borderId="0" xfId="0" applyFont="1" applyFill="1"/>
    <xf numFmtId="10" fontId="8" fillId="2" borderId="0" xfId="0" applyNumberFormat="1" applyFont="1" applyFill="1"/>
    <xf numFmtId="0" fontId="0" fillId="3" borderId="6" xfId="0" applyFill="1" applyBorder="1" applyProtection="1">
      <protection locked="0"/>
    </xf>
    <xf numFmtId="3" fontId="30" fillId="3" borderId="4" xfId="0" applyNumberFormat="1" applyFont="1" applyFill="1" applyBorder="1" applyProtection="1">
      <protection locked="0"/>
    </xf>
    <xf numFmtId="3" fontId="30" fillId="3" borderId="5" xfId="0" applyNumberFormat="1" applyFont="1" applyFill="1" applyBorder="1" applyProtection="1">
      <protection locked="0"/>
    </xf>
    <xf numFmtId="3" fontId="30" fillId="3" borderId="15" xfId="0" applyNumberFormat="1" applyFont="1" applyFill="1" applyBorder="1" applyProtection="1">
      <protection locked="0"/>
    </xf>
    <xf numFmtId="3" fontId="8" fillId="2" borderId="0" xfId="1" applyNumberFormat="1" applyFont="1" applyFill="1" applyBorder="1" applyAlignment="1" applyProtection="1">
      <alignment vertical="center"/>
    </xf>
    <xf numFmtId="3" fontId="11" fillId="2" borderId="0" xfId="1" applyNumberFormat="1" applyFont="1" applyFill="1" applyBorder="1" applyAlignment="1" applyProtection="1">
      <alignment vertical="center"/>
    </xf>
    <xf numFmtId="10" fontId="30" fillId="3" borderId="6" xfId="0" applyNumberFormat="1" applyFont="1" applyFill="1" applyBorder="1" applyProtection="1">
      <protection locked="0"/>
    </xf>
    <xf numFmtId="3" fontId="30" fillId="3" borderId="7" xfId="0" applyNumberFormat="1" applyFont="1" applyFill="1" applyBorder="1" applyProtection="1">
      <protection locked="0"/>
    </xf>
    <xf numFmtId="3" fontId="30" fillId="3" borderId="8" xfId="0" applyNumberFormat="1" applyFont="1" applyFill="1" applyBorder="1" applyProtection="1">
      <protection locked="0"/>
    </xf>
    <xf numFmtId="3" fontId="30" fillId="3" borderId="10" xfId="0" applyNumberFormat="1" applyFont="1" applyFill="1" applyBorder="1" applyProtection="1">
      <protection locked="0"/>
    </xf>
    <xf numFmtId="3" fontId="30" fillId="3" borderId="0" xfId="0" applyNumberFormat="1" applyFont="1" applyFill="1" applyProtection="1">
      <protection locked="0"/>
    </xf>
    <xf numFmtId="3" fontId="30" fillId="3" borderId="6" xfId="0" applyNumberFormat="1" applyFont="1" applyFill="1" applyBorder="1" applyProtection="1">
      <protection locked="0"/>
    </xf>
    <xf numFmtId="1" fontId="0" fillId="3" borderId="6" xfId="0" applyNumberFormat="1" applyFill="1" applyBorder="1" applyProtection="1">
      <protection locked="0"/>
    </xf>
    <xf numFmtId="168" fontId="30" fillId="3" borderId="6" xfId="0" applyNumberFormat="1" applyFont="1" applyFill="1" applyBorder="1" applyAlignment="1" applyProtection="1">
      <alignment wrapText="1"/>
      <protection locked="0"/>
    </xf>
    <xf numFmtId="0" fontId="5" fillId="6" borderId="0" xfId="0" applyFont="1" applyFill="1"/>
    <xf numFmtId="0" fontId="8" fillId="6" borderId="0" xfId="0" applyFont="1" applyFill="1"/>
    <xf numFmtId="0" fontId="0" fillId="6" borderId="0" xfId="0" applyFill="1"/>
    <xf numFmtId="0" fontId="8" fillId="6" borderId="0" xfId="0" applyFont="1" applyFill="1" applyAlignment="1" applyProtection="1">
      <alignment vertical="top" wrapText="1"/>
      <protection locked="0"/>
    </xf>
    <xf numFmtId="3" fontId="30" fillId="0" borderId="6" xfId="0" applyNumberFormat="1" applyFont="1" applyBorder="1" applyProtection="1">
      <protection locked="0"/>
    </xf>
    <xf numFmtId="3" fontId="30" fillId="2" borderId="0" xfId="0" applyNumberFormat="1" applyFont="1" applyFill="1" applyProtection="1">
      <protection locked="0"/>
    </xf>
    <xf numFmtId="0" fontId="28" fillId="2" borderId="0" xfId="4" applyFont="1" applyFill="1" applyAlignment="1" applyProtection="1"/>
    <xf numFmtId="0" fontId="43" fillId="2" borderId="0" xfId="4" applyFill="1" applyAlignment="1" applyProtection="1"/>
    <xf numFmtId="3" fontId="30" fillId="3" borderId="12" xfId="0" applyNumberFormat="1" applyFont="1" applyFill="1" applyBorder="1" applyProtection="1">
      <protection locked="0"/>
    </xf>
    <xf numFmtId="3" fontId="30" fillId="3" borderId="13" xfId="0" applyNumberFormat="1" applyFont="1" applyFill="1" applyBorder="1" applyProtection="1">
      <protection locked="0"/>
    </xf>
    <xf numFmtId="0" fontId="44" fillId="2" borderId="0" xfId="4" applyFont="1" applyFill="1" applyAlignment="1" applyProtection="1"/>
    <xf numFmtId="164" fontId="30" fillId="3" borderId="10" xfId="0" applyNumberFormat="1" applyFont="1" applyFill="1" applyBorder="1" applyProtection="1">
      <protection locked="0"/>
    </xf>
    <xf numFmtId="164" fontId="30" fillId="3" borderId="0" xfId="0" applyNumberFormat="1" applyFont="1" applyFill="1" applyProtection="1">
      <protection locked="0"/>
    </xf>
    <xf numFmtId="164" fontId="30" fillId="3" borderId="11" xfId="0" applyNumberFormat="1" applyFont="1" applyFill="1" applyBorder="1" applyProtection="1">
      <protection locked="0"/>
    </xf>
    <xf numFmtId="0" fontId="5" fillId="2" borderId="0" xfId="0" applyFont="1" applyFill="1" applyAlignment="1">
      <alignment wrapText="1"/>
    </xf>
    <xf numFmtId="0" fontId="0" fillId="2" borderId="0" xfId="0" applyFill="1" applyAlignment="1">
      <alignment vertical="top"/>
    </xf>
    <xf numFmtId="0" fontId="15" fillId="2" borderId="6" xfId="0" applyFont="1" applyFill="1" applyBorder="1" applyAlignment="1">
      <alignment horizontal="left" vertical="center" wrapText="1"/>
    </xf>
    <xf numFmtId="0" fontId="8" fillId="2" borderId="0" xfId="0" applyFont="1" applyFill="1" applyAlignment="1">
      <alignment horizontal="center" vertical="center"/>
    </xf>
    <xf numFmtId="180" fontId="64" fillId="3" borderId="6" xfId="3" applyNumberFormat="1" applyFont="1" applyFill="1" applyBorder="1" applyAlignment="1" applyProtection="1">
      <alignment vertical="top" wrapText="1"/>
      <protection locked="0"/>
    </xf>
    <xf numFmtId="180" fontId="64" fillId="3" borderId="1" xfId="3" applyNumberFormat="1" applyFont="1" applyFill="1" applyBorder="1" applyAlignment="1" applyProtection="1">
      <alignment vertical="top" wrapText="1"/>
      <protection locked="0"/>
    </xf>
    <xf numFmtId="14" fontId="64" fillId="3" borderId="6" xfId="3" applyNumberFormat="1" applyFont="1" applyFill="1" applyBorder="1" applyProtection="1">
      <protection locked="0"/>
    </xf>
    <xf numFmtId="9" fontId="53" fillId="2" borderId="0" xfId="6" applyFont="1" applyFill="1" applyBorder="1" applyAlignment="1" applyProtection="1">
      <alignment horizontal="left" vertical="center"/>
    </xf>
    <xf numFmtId="9" fontId="50" fillId="2" borderId="0" xfId="6" applyFont="1" applyFill="1" applyAlignment="1" applyProtection="1"/>
    <xf numFmtId="9" fontId="54" fillId="2" borderId="0" xfId="6" applyFont="1" applyFill="1" applyAlignment="1" applyProtection="1"/>
    <xf numFmtId="9" fontId="55" fillId="2" borderId="0" xfId="6" applyFont="1" applyFill="1" applyBorder="1" applyAlignment="1" applyProtection="1">
      <alignment horizontal="left"/>
    </xf>
    <xf numFmtId="171" fontId="56" fillId="2" borderId="0" xfId="7" applyNumberFormat="1" applyFont="1" applyFill="1" applyAlignment="1" applyProtection="1"/>
    <xf numFmtId="171" fontId="51" fillId="2" borderId="0" xfId="7" applyNumberFormat="1" applyFont="1" applyFill="1" applyAlignment="1" applyProtection="1">
      <alignment horizontal="center"/>
    </xf>
    <xf numFmtId="176" fontId="50" fillId="2" borderId="0" xfId="8" applyNumberFormat="1" applyFont="1" applyFill="1" applyBorder="1" applyAlignment="1" applyProtection="1"/>
    <xf numFmtId="176" fontId="50" fillId="2" borderId="8" xfId="8" applyNumberFormat="1" applyFont="1" applyFill="1" applyBorder="1" applyAlignment="1" applyProtection="1"/>
    <xf numFmtId="176" fontId="50" fillId="2" borderId="0" xfId="8" applyNumberFormat="1" applyFont="1" applyFill="1" applyAlignment="1" applyProtection="1"/>
    <xf numFmtId="176" fontId="50" fillId="2" borderId="3" xfId="8" applyNumberFormat="1" applyFont="1" applyFill="1" applyBorder="1" applyAlignment="1" applyProtection="1">
      <alignment horizontal="center"/>
    </xf>
    <xf numFmtId="176" fontId="51" fillId="2" borderId="21" xfId="8" applyNumberFormat="1" applyFont="1" applyFill="1" applyBorder="1" applyAlignment="1" applyProtection="1"/>
    <xf numFmtId="176" fontId="51" fillId="2" borderId="0" xfId="8" applyNumberFormat="1" applyFont="1" applyFill="1" applyBorder="1" applyAlignment="1" applyProtection="1"/>
    <xf numFmtId="181" fontId="50" fillId="2" borderId="0" xfId="8" applyNumberFormat="1" applyFont="1" applyFill="1" applyBorder="1" applyAlignment="1" applyProtection="1"/>
    <xf numFmtId="181" fontId="50" fillId="2" borderId="0" xfId="8" applyNumberFormat="1" applyFont="1" applyFill="1" applyBorder="1" applyAlignment="1" applyProtection="1">
      <alignment horizontal="center"/>
    </xf>
    <xf numFmtId="176" fontId="54" fillId="2" borderId="0" xfId="8" applyNumberFormat="1" applyFont="1" applyFill="1" applyAlignment="1" applyProtection="1"/>
    <xf numFmtId="176" fontId="50" fillId="2" borderId="22" xfId="8" applyNumberFormat="1" applyFont="1" applyFill="1" applyBorder="1" applyAlignment="1" applyProtection="1"/>
    <xf numFmtId="176" fontId="51" fillId="2" borderId="0" xfId="8" applyNumberFormat="1" applyFont="1" applyFill="1" applyAlignment="1" applyProtection="1"/>
    <xf numFmtId="9" fontId="51" fillId="2" borderId="13" xfId="8" applyNumberFormat="1" applyFont="1" applyFill="1" applyBorder="1" applyAlignment="1" applyProtection="1"/>
    <xf numFmtId="176" fontId="51" fillId="2" borderId="22" xfId="8" applyNumberFormat="1" applyFont="1" applyFill="1" applyBorder="1" applyAlignment="1" applyProtection="1"/>
    <xf numFmtId="176" fontId="56" fillId="2" borderId="0" xfId="8" applyNumberFormat="1" applyFont="1" applyFill="1" applyAlignment="1" applyProtection="1"/>
    <xf numFmtId="176" fontId="50" fillId="2" borderId="13" xfId="8" applyNumberFormat="1" applyFont="1" applyFill="1" applyBorder="1" applyAlignment="1" applyProtection="1"/>
    <xf numFmtId="0" fontId="50" fillId="3" borderId="19" xfId="5" applyFont="1" applyFill="1" applyBorder="1" applyProtection="1">
      <protection locked="0"/>
    </xf>
    <xf numFmtId="0" fontId="50" fillId="3" borderId="20" xfId="5" applyFont="1" applyFill="1" applyBorder="1" applyProtection="1">
      <protection locked="0"/>
    </xf>
    <xf numFmtId="0" fontId="52" fillId="3" borderId="20" xfId="5" applyFont="1" applyFill="1" applyBorder="1" applyAlignment="1" applyProtection="1">
      <alignment horizontal="left"/>
      <protection locked="0"/>
    </xf>
    <xf numFmtId="0" fontId="50" fillId="3" borderId="20" xfId="5" applyFont="1" applyFill="1" applyBorder="1" applyAlignment="1" applyProtection="1">
      <alignment horizontal="left"/>
      <protection locked="0"/>
    </xf>
    <xf numFmtId="9" fontId="0" fillId="0" borderId="0" xfId="0" applyNumberFormat="1"/>
    <xf numFmtId="0" fontId="5" fillId="3" borderId="0" xfId="3" applyFont="1" applyFill="1"/>
    <xf numFmtId="0" fontId="37" fillId="3" borderId="0" xfId="3" applyFont="1" applyFill="1" applyAlignment="1">
      <alignment horizontal="left"/>
    </xf>
    <xf numFmtId="0" fontId="38" fillId="3" borderId="0" xfId="3" applyFont="1" applyFill="1"/>
    <xf numFmtId="0" fontId="28" fillId="3" borderId="0" xfId="3" applyFont="1" applyFill="1"/>
    <xf numFmtId="0" fontId="8" fillId="3" borderId="0" xfId="3" applyFont="1" applyFill="1" applyAlignment="1">
      <alignment horizontal="right" vertical="top"/>
    </xf>
    <xf numFmtId="0" fontId="5" fillId="2" borderId="0" xfId="3" applyFont="1" applyFill="1"/>
    <xf numFmtId="0" fontId="35" fillId="2" borderId="0" xfId="3" applyFont="1" applyFill="1"/>
    <xf numFmtId="0" fontId="28" fillId="3" borderId="0" xfId="3" applyFont="1" applyFill="1" applyAlignment="1">
      <alignment horizontal="left"/>
    </xf>
    <xf numFmtId="0" fontId="37" fillId="3" borderId="0" xfId="3" applyFont="1" applyFill="1"/>
    <xf numFmtId="0" fontId="22" fillId="3" borderId="0" xfId="3" applyFont="1" applyFill="1"/>
    <xf numFmtId="0" fontId="22" fillId="3" borderId="0" xfId="3" applyFont="1" applyFill="1" applyAlignment="1">
      <alignment horizontal="left"/>
    </xf>
    <xf numFmtId="0" fontId="22" fillId="2" borderId="0" xfId="3" applyFont="1" applyFill="1"/>
    <xf numFmtId="0" fontId="22" fillId="2" borderId="0" xfId="3" applyFont="1" applyFill="1" applyAlignment="1">
      <alignment horizontal="left"/>
    </xf>
    <xf numFmtId="0" fontId="39" fillId="2" borderId="0" xfId="3" applyFont="1" applyFill="1"/>
    <xf numFmtId="0" fontId="40" fillId="7" borderId="0" xfId="3" applyFont="1" applyFill="1"/>
    <xf numFmtId="0" fontId="39" fillId="7" borderId="0" xfId="3" applyFont="1" applyFill="1"/>
    <xf numFmtId="0" fontId="5" fillId="7" borderId="0" xfId="3" applyFont="1" applyFill="1"/>
    <xf numFmtId="0" fontId="28" fillId="2" borderId="0" xfId="3" applyFont="1" applyFill="1"/>
    <xf numFmtId="0" fontId="74" fillId="2" borderId="0" xfId="3" applyFont="1" applyFill="1" applyAlignment="1">
      <alignment horizontal="left"/>
    </xf>
    <xf numFmtId="0" fontId="42" fillId="2" borderId="0" xfId="3" applyFont="1" applyFill="1" applyAlignment="1">
      <alignment horizontal="left"/>
    </xf>
    <xf numFmtId="0" fontId="36" fillId="2" borderId="0" xfId="3" applyFill="1"/>
    <xf numFmtId="0" fontId="28" fillId="2" borderId="0" xfId="3" applyFont="1" applyFill="1" applyAlignment="1">
      <alignment vertical="top"/>
    </xf>
    <xf numFmtId="0" fontId="40" fillId="2" borderId="0" xfId="3" applyFont="1" applyFill="1"/>
    <xf numFmtId="0" fontId="22" fillId="2" borderId="0" xfId="5" applyFont="1" applyFill="1"/>
    <xf numFmtId="0" fontId="28" fillId="2" borderId="0" xfId="5" applyFont="1" applyFill="1"/>
    <xf numFmtId="0" fontId="28" fillId="2" borderId="0" xfId="3" applyFont="1" applyFill="1" applyAlignment="1">
      <alignment horizontal="left"/>
    </xf>
    <xf numFmtId="0" fontId="41" fillId="2" borderId="0" xfId="3" applyFont="1" applyFill="1" applyAlignment="1">
      <alignment horizontal="left"/>
    </xf>
    <xf numFmtId="0" fontId="46" fillId="7" borderId="0" xfId="3" applyFont="1" applyFill="1"/>
    <xf numFmtId="0" fontId="47" fillId="7" borderId="0" xfId="3" applyFont="1" applyFill="1"/>
    <xf numFmtId="0" fontId="36" fillId="7" borderId="0" xfId="3" applyFill="1"/>
    <xf numFmtId="0" fontId="48" fillId="2" borderId="0" xfId="3" applyFont="1" applyFill="1"/>
    <xf numFmtId="0" fontId="47" fillId="2" borderId="0" xfId="3" applyFont="1" applyFill="1"/>
    <xf numFmtId="0" fontId="46" fillId="2" borderId="0" xfId="3" applyFont="1" applyFill="1"/>
    <xf numFmtId="0" fontId="49" fillId="2" borderId="0" xfId="3" applyFont="1" applyFill="1"/>
    <xf numFmtId="0" fontId="61" fillId="2" borderId="0" xfId="3" applyFont="1" applyFill="1"/>
    <xf numFmtId="0" fontId="50" fillId="2" borderId="0" xfId="5" applyFont="1" applyFill="1"/>
    <xf numFmtId="171" fontId="50" fillId="2" borderId="0" xfId="5" applyNumberFormat="1" applyFont="1" applyFill="1"/>
    <xf numFmtId="0" fontId="51" fillId="2" borderId="7" xfId="5" applyFont="1" applyFill="1" applyBorder="1"/>
    <xf numFmtId="0" fontId="51" fillId="2" borderId="8" xfId="5" applyFont="1" applyFill="1" applyBorder="1" applyAlignment="1">
      <alignment horizontal="left"/>
    </xf>
    <xf numFmtId="0" fontId="51" fillId="2" borderId="8" xfId="5" applyFont="1" applyFill="1" applyBorder="1"/>
    <xf numFmtId="171" fontId="50" fillId="2" borderId="9" xfId="5" applyNumberFormat="1" applyFont="1" applyFill="1" applyBorder="1"/>
    <xf numFmtId="0" fontId="50" fillId="2" borderId="10" xfId="5" applyFont="1" applyFill="1" applyBorder="1"/>
    <xf numFmtId="49" fontId="53" fillId="2" borderId="0" xfId="5" applyNumberFormat="1" applyFont="1" applyFill="1" applyAlignment="1">
      <alignment horizontal="left" vertical="center"/>
    </xf>
    <xf numFmtId="0" fontId="55" fillId="2" borderId="2" xfId="5" applyFont="1" applyFill="1" applyBorder="1" applyAlignment="1">
      <alignment horizontal="right" vertical="center"/>
    </xf>
    <xf numFmtId="9" fontId="55" fillId="2" borderId="3" xfId="5" applyNumberFormat="1" applyFont="1" applyFill="1" applyBorder="1" applyAlignment="1">
      <alignment horizontal="center" vertical="center"/>
    </xf>
    <xf numFmtId="0" fontId="39" fillId="2" borderId="0" xfId="3" applyFont="1" applyFill="1" applyAlignment="1">
      <alignment horizontal="left"/>
    </xf>
    <xf numFmtId="172" fontId="55" fillId="2" borderId="10" xfId="5" applyNumberFormat="1" applyFont="1" applyFill="1" applyBorder="1" applyAlignment="1">
      <alignment horizontal="left"/>
    </xf>
    <xf numFmtId="172" fontId="50" fillId="2" borderId="11" xfId="5" applyNumberFormat="1" applyFont="1" applyFill="1" applyBorder="1" applyAlignment="1">
      <alignment horizontal="left"/>
    </xf>
    <xf numFmtId="49" fontId="55" fillId="2" borderId="10" xfId="5" applyNumberFormat="1" applyFont="1" applyFill="1" applyBorder="1" applyAlignment="1">
      <alignment horizontal="left"/>
    </xf>
    <xf numFmtId="172" fontId="50" fillId="2" borderId="10" xfId="5" applyNumberFormat="1" applyFont="1" applyFill="1" applyBorder="1" applyAlignment="1">
      <alignment horizontal="left"/>
    </xf>
    <xf numFmtId="0" fontId="50" fillId="2" borderId="12" xfId="5" applyFont="1" applyFill="1" applyBorder="1"/>
    <xf numFmtId="0" fontId="51" fillId="2" borderId="13" xfId="5" applyFont="1" applyFill="1" applyBorder="1"/>
    <xf numFmtId="172" fontId="50" fillId="2" borderId="12" xfId="5" applyNumberFormat="1" applyFont="1" applyFill="1" applyBorder="1" applyAlignment="1">
      <alignment horizontal="left"/>
    </xf>
    <xf numFmtId="172" fontId="50" fillId="2" borderId="14" xfId="5" applyNumberFormat="1" applyFont="1" applyFill="1" applyBorder="1" applyAlignment="1">
      <alignment horizontal="left"/>
    </xf>
    <xf numFmtId="0" fontId="51" fillId="2" borderId="0" xfId="5" applyFont="1" applyFill="1"/>
    <xf numFmtId="0" fontId="56" fillId="2" borderId="0" xfId="5" applyFont="1" applyFill="1"/>
    <xf numFmtId="0" fontId="54" fillId="2" borderId="0" xfId="5" applyFont="1" applyFill="1"/>
    <xf numFmtId="9" fontId="54" fillId="2" borderId="0" xfId="5" applyNumberFormat="1" applyFont="1" applyFill="1"/>
    <xf numFmtId="0" fontId="51" fillId="2" borderId="1" xfId="5" applyFont="1" applyFill="1" applyBorder="1"/>
    <xf numFmtId="0" fontId="50" fillId="2" borderId="2" xfId="5" applyFont="1" applyFill="1" applyBorder="1"/>
    <xf numFmtId="0" fontId="51" fillId="2" borderId="2" xfId="5" applyFont="1" applyFill="1" applyBorder="1"/>
    <xf numFmtId="171" fontId="50" fillId="2" borderId="3" xfId="5" applyNumberFormat="1" applyFont="1" applyFill="1" applyBorder="1" applyAlignment="1">
      <alignment horizontal="center"/>
    </xf>
    <xf numFmtId="0" fontId="50" fillId="2" borderId="8" xfId="5" applyFont="1" applyFill="1" applyBorder="1"/>
    <xf numFmtId="171" fontId="50" fillId="2" borderId="8" xfId="5" applyNumberFormat="1" applyFont="1" applyFill="1" applyBorder="1" applyAlignment="1">
      <alignment horizontal="center"/>
    </xf>
    <xf numFmtId="0" fontId="50" fillId="2" borderId="0" xfId="5" applyFont="1" applyFill="1" applyAlignment="1">
      <alignment horizontal="center"/>
    </xf>
    <xf numFmtId="0" fontId="52" fillId="2" borderId="0" xfId="5" applyFont="1" applyFill="1"/>
    <xf numFmtId="0" fontId="57" fillId="2" borderId="0" xfId="3" applyFont="1" applyFill="1" applyAlignment="1">
      <alignment vertical="center"/>
    </xf>
    <xf numFmtId="0" fontId="50" fillId="2" borderId="0" xfId="3" applyFont="1" applyFill="1"/>
    <xf numFmtId="171" fontId="50" fillId="2" borderId="0" xfId="5" applyNumberFormat="1" applyFont="1" applyFill="1" applyAlignment="1">
      <alignment horizontal="center"/>
    </xf>
    <xf numFmtId="9" fontId="51" fillId="2" borderId="0" xfId="5" applyNumberFormat="1" applyFont="1" applyFill="1"/>
    <xf numFmtId="3" fontId="50" fillId="2" borderId="0" xfId="5" applyNumberFormat="1" applyFont="1" applyFill="1"/>
    <xf numFmtId="0" fontId="54" fillId="2" borderId="0" xfId="5" applyFont="1" applyFill="1" applyAlignment="1">
      <alignment horizontal="right"/>
    </xf>
    <xf numFmtId="178" fontId="54" fillId="2" borderId="0" xfId="5" applyNumberFormat="1" applyFont="1" applyFill="1" applyAlignment="1">
      <alignment horizontal="left"/>
    </xf>
    <xf numFmtId="0" fontId="28" fillId="2" borderId="0" xfId="3" applyFont="1" applyFill="1" applyAlignment="1">
      <alignment vertical="top" wrapText="1"/>
    </xf>
    <xf numFmtId="0" fontId="50" fillId="3" borderId="8" xfId="5" applyFont="1" applyFill="1" applyBorder="1" applyProtection="1">
      <protection locked="0"/>
    </xf>
    <xf numFmtId="0" fontId="50" fillId="3" borderId="24" xfId="5" applyFont="1" applyFill="1" applyBorder="1" applyProtection="1">
      <protection locked="0"/>
    </xf>
    <xf numFmtId="176" fontId="50" fillId="3" borderId="9" xfId="8" applyNumberFormat="1" applyFont="1" applyFill="1" applyBorder="1" applyAlignment="1" applyProtection="1">
      <protection locked="0"/>
    </xf>
    <xf numFmtId="0" fontId="50" fillId="3" borderId="0" xfId="5" applyFont="1" applyFill="1" applyProtection="1">
      <protection locked="0"/>
    </xf>
    <xf numFmtId="176" fontId="50" fillId="3" borderId="11" xfId="8" applyNumberFormat="1" applyFont="1" applyFill="1" applyBorder="1" applyAlignment="1" applyProtection="1">
      <protection locked="0"/>
    </xf>
    <xf numFmtId="0" fontId="52" fillId="3" borderId="25" xfId="5" applyFont="1" applyFill="1" applyBorder="1" applyAlignment="1" applyProtection="1">
      <alignment horizontal="left"/>
      <protection locked="0"/>
    </xf>
    <xf numFmtId="0" fontId="50" fillId="3" borderId="13" xfId="5" applyFont="1" applyFill="1" applyBorder="1" applyProtection="1">
      <protection locked="0"/>
    </xf>
    <xf numFmtId="176" fontId="50" fillId="3" borderId="14" xfId="8" applyNumberFormat="1" applyFont="1" applyFill="1" applyBorder="1" applyAlignment="1" applyProtection="1">
      <protection locked="0"/>
    </xf>
    <xf numFmtId="16" fontId="50" fillId="3" borderId="24" xfId="5" applyNumberFormat="1" applyFont="1" applyFill="1" applyBorder="1" applyProtection="1">
      <protection locked="0"/>
    </xf>
    <xf numFmtId="0" fontId="50" fillId="3" borderId="25" xfId="5" applyFont="1" applyFill="1" applyBorder="1" applyAlignment="1" applyProtection="1">
      <alignment horizontal="left"/>
      <protection locked="0"/>
    </xf>
    <xf numFmtId="0" fontId="60" fillId="2" borderId="0" xfId="3" applyFont="1" applyFill="1"/>
    <xf numFmtId="0" fontId="34" fillId="2" borderId="0" xfId="3" applyFont="1" applyFill="1"/>
    <xf numFmtId="0" fontId="23" fillId="2" borderId="0" xfId="3" applyFont="1" applyFill="1"/>
    <xf numFmtId="0" fontId="53" fillId="2" borderId="0" xfId="3" applyFont="1" applyFill="1" applyAlignment="1">
      <alignment horizontal="right"/>
    </xf>
    <xf numFmtId="172" fontId="5" fillId="2" borderId="0" xfId="3" applyNumberFormat="1" applyFont="1" applyFill="1"/>
    <xf numFmtId="172" fontId="72" fillId="2" borderId="0" xfId="3" applyNumberFormat="1" applyFont="1" applyFill="1"/>
    <xf numFmtId="0" fontId="16" fillId="2" borderId="0" xfId="3" applyFont="1" applyFill="1" applyAlignment="1">
      <alignment horizontal="left" wrapText="1"/>
    </xf>
    <xf numFmtId="0" fontId="16" fillId="2" borderId="0" xfId="3" applyFont="1" applyFill="1" applyAlignment="1">
      <alignment horizontal="center" wrapText="1"/>
    </xf>
    <xf numFmtId="0" fontId="60" fillId="2" borderId="0" xfId="3" applyFont="1" applyFill="1" applyAlignment="1">
      <alignment horizontal="left"/>
    </xf>
    <xf numFmtId="0" fontId="59" fillId="2" borderId="0" xfId="3" applyFont="1" applyFill="1"/>
    <xf numFmtId="0" fontId="62" fillId="2" borderId="6" xfId="3" applyFont="1" applyFill="1" applyBorder="1" applyAlignment="1">
      <alignment horizontal="left" vertical="top"/>
    </xf>
    <xf numFmtId="0" fontId="62" fillId="2" borderId="1" xfId="3" applyFont="1" applyFill="1" applyBorder="1" applyAlignment="1">
      <alignment horizontal="center" vertical="top" wrapText="1"/>
    </xf>
    <xf numFmtId="0" fontId="62" fillId="2" borderId="6" xfId="3" applyFont="1" applyFill="1" applyBorder="1" applyAlignment="1">
      <alignment vertical="top"/>
    </xf>
    <xf numFmtId="0" fontId="63" fillId="2" borderId="1" xfId="3" applyFont="1" applyFill="1" applyBorder="1" applyAlignment="1">
      <alignment horizontal="left" wrapText="1"/>
    </xf>
    <xf numFmtId="0" fontId="11" fillId="2" borderId="0" xfId="3" applyFont="1" applyFill="1"/>
    <xf numFmtId="180" fontId="64" fillId="2" borderId="0" xfId="3" applyNumberFormat="1" applyFont="1" applyFill="1" applyAlignment="1">
      <alignment vertical="top" wrapText="1"/>
    </xf>
    <xf numFmtId="180" fontId="36" fillId="2" borderId="0" xfId="3" applyNumberFormat="1" applyFill="1"/>
    <xf numFmtId="0" fontId="63" fillId="2" borderId="6" xfId="3" applyFont="1" applyFill="1" applyBorder="1" applyAlignment="1">
      <alignment horizontal="left" wrapText="1"/>
    </xf>
    <xf numFmtId="0" fontId="13" fillId="2" borderId="7" xfId="3" applyFont="1" applyFill="1" applyBorder="1" applyAlignment="1">
      <alignment horizontal="left"/>
    </xf>
    <xf numFmtId="0" fontId="65" fillId="2" borderId="8" xfId="3" applyFont="1" applyFill="1" applyBorder="1" applyAlignment="1">
      <alignment horizontal="left"/>
    </xf>
    <xf numFmtId="0" fontId="39" fillId="2" borderId="8" xfId="3" applyFont="1" applyFill="1" applyBorder="1" applyAlignment="1">
      <alignment horizontal="left"/>
    </xf>
    <xf numFmtId="0" fontId="66" fillId="2" borderId="8" xfId="3" applyFont="1" applyFill="1" applyBorder="1" applyAlignment="1">
      <alignment horizontal="left"/>
    </xf>
    <xf numFmtId="0" fontId="67" fillId="2" borderId="8" xfId="3" applyFont="1" applyFill="1" applyBorder="1" applyAlignment="1">
      <alignment horizontal="left"/>
    </xf>
    <xf numFmtId="0" fontId="68" fillId="2" borderId="8" xfId="3" applyFont="1" applyFill="1" applyBorder="1" applyAlignment="1">
      <alignment horizontal="left"/>
    </xf>
    <xf numFmtId="0" fontId="68" fillId="2" borderId="9" xfId="3" applyFont="1" applyFill="1" applyBorder="1" applyAlignment="1">
      <alignment horizontal="left"/>
    </xf>
    <xf numFmtId="180" fontId="64" fillId="3" borderId="6" xfId="3" applyNumberFormat="1" applyFont="1" applyFill="1" applyBorder="1" applyAlignment="1" applyProtection="1">
      <alignment horizontal="right" vertical="top" wrapText="1"/>
      <protection locked="0"/>
    </xf>
    <xf numFmtId="180" fontId="64" fillId="3" borderId="6" xfId="3" applyNumberFormat="1" applyFont="1" applyFill="1" applyBorder="1" applyAlignment="1" applyProtection="1">
      <alignment horizontal="center" wrapText="1"/>
      <protection locked="0"/>
    </xf>
    <xf numFmtId="0" fontId="11" fillId="2" borderId="0" xfId="0" applyFont="1" applyFill="1" applyAlignment="1">
      <alignment vertical="top"/>
    </xf>
    <xf numFmtId="0" fontId="7" fillId="2" borderId="0" xfId="0" applyFont="1" applyFill="1"/>
    <xf numFmtId="0" fontId="4" fillId="2" borderId="0" xfId="0" applyFont="1" applyFill="1" applyAlignment="1">
      <alignment vertical="top"/>
    </xf>
    <xf numFmtId="0" fontId="14" fillId="2" borderId="0" xfId="0" applyFont="1" applyFill="1"/>
    <xf numFmtId="0" fontId="5" fillId="2" borderId="0" xfId="0" applyFont="1" applyFill="1" applyAlignment="1">
      <alignment vertical="top"/>
    </xf>
    <xf numFmtId="9" fontId="30" fillId="2" borderId="6" xfId="0" applyNumberFormat="1" applyFont="1" applyFill="1" applyBorder="1"/>
    <xf numFmtId="0" fontId="11" fillId="2" borderId="0" xfId="0" applyFont="1" applyFill="1"/>
    <xf numFmtId="9" fontId="0" fillId="2" borderId="0" xfId="0" applyNumberFormat="1" applyFill="1"/>
    <xf numFmtId="49" fontId="0" fillId="2" borderId="0" xfId="0" applyNumberFormat="1" applyFill="1"/>
    <xf numFmtId="3" fontId="0" fillId="2" borderId="0" xfId="0" applyNumberFormat="1" applyFill="1" applyAlignment="1">
      <alignment horizontal="left"/>
    </xf>
    <xf numFmtId="0" fontId="0" fillId="2" borderId="0" xfId="0" applyFill="1" applyAlignment="1">
      <alignment horizontal="left"/>
    </xf>
    <xf numFmtId="165" fontId="5" fillId="2" borderId="0" xfId="0" applyNumberFormat="1" applyFont="1" applyFill="1"/>
    <xf numFmtId="3" fontId="30" fillId="5" borderId="4" xfId="0" applyNumberFormat="1" applyFont="1" applyFill="1" applyBorder="1"/>
    <xf numFmtId="164" fontId="11" fillId="2" borderId="0" xfId="0" applyNumberFormat="1" applyFont="1" applyFill="1"/>
    <xf numFmtId="49" fontId="8" fillId="2" borderId="0" xfId="0" applyNumberFormat="1" applyFont="1" applyFill="1"/>
    <xf numFmtId="3" fontId="30" fillId="2" borderId="4" xfId="0" applyNumberFormat="1" applyFont="1" applyFill="1" applyBorder="1"/>
    <xf numFmtId="3" fontId="30" fillId="2" borderId="15" xfId="0" applyNumberFormat="1" applyFont="1" applyFill="1" applyBorder="1"/>
    <xf numFmtId="0" fontId="16" fillId="2" borderId="0" xfId="0" applyFont="1" applyFill="1"/>
    <xf numFmtId="49" fontId="30" fillId="2" borderId="0" xfId="0" applyNumberFormat="1" applyFont="1" applyFill="1"/>
    <xf numFmtId="0" fontId="30" fillId="2" borderId="0" xfId="0" applyFont="1" applyFill="1"/>
    <xf numFmtId="3" fontId="30" fillId="2" borderId="0" xfId="0" applyNumberFormat="1" applyFont="1" applyFill="1"/>
    <xf numFmtId="164" fontId="5" fillId="2" borderId="0" xfId="0" applyNumberFormat="1" applyFont="1" applyFill="1" applyAlignment="1">
      <alignment vertical="top" wrapText="1"/>
    </xf>
    <xf numFmtId="9" fontId="5" fillId="2" borderId="0" xfId="0" applyNumberFormat="1" applyFont="1" applyFill="1"/>
    <xf numFmtId="164" fontId="30" fillId="2" borderId="0" xfId="0" applyNumberFormat="1" applyFont="1" applyFill="1"/>
    <xf numFmtId="3" fontId="30" fillId="2" borderId="6" xfId="0" applyNumberFormat="1" applyFont="1" applyFill="1" applyBorder="1"/>
    <xf numFmtId="0" fontId="4" fillId="2" borderId="0" xfId="0" applyFont="1" applyFill="1" applyAlignment="1">
      <alignment vertical="center"/>
    </xf>
    <xf numFmtId="0" fontId="21" fillId="2" borderId="0" xfId="0" applyFont="1" applyFill="1"/>
    <xf numFmtId="166" fontId="5" fillId="2" borderId="0" xfId="0" applyNumberFormat="1" applyFont="1" applyFill="1" applyAlignment="1">
      <alignment horizontal="left"/>
    </xf>
    <xf numFmtId="0" fontId="11" fillId="2" borderId="0" xfId="0" applyFont="1" applyFill="1" applyAlignment="1">
      <alignment horizontal="right"/>
    </xf>
    <xf numFmtId="165" fontId="11" fillId="2" borderId="0" xfId="0" applyNumberFormat="1" applyFont="1" applyFill="1" applyAlignment="1">
      <alignment horizontal="left"/>
    </xf>
    <xf numFmtId="165" fontId="5" fillId="2" borderId="0" xfId="0" applyNumberFormat="1" applyFont="1" applyFill="1" applyAlignment="1">
      <alignment horizontal="right"/>
    </xf>
    <xf numFmtId="3" fontId="5" fillId="2" borderId="0" xfId="0" applyNumberFormat="1" applyFont="1" applyFill="1" applyAlignment="1">
      <alignment horizontal="right"/>
    </xf>
    <xf numFmtId="0" fontId="5" fillId="2" borderId="0" xfId="0" applyFont="1" applyFill="1" applyAlignment="1">
      <alignment horizontal="right"/>
    </xf>
    <xf numFmtId="0" fontId="0" fillId="2" borderId="0" xfId="0" applyFill="1" applyAlignment="1">
      <alignment horizontal="right"/>
    </xf>
    <xf numFmtId="0" fontId="11" fillId="2" borderId="0" xfId="0" applyFont="1" applyFill="1" applyAlignment="1">
      <alignment vertical="top" wrapText="1"/>
    </xf>
    <xf numFmtId="10" fontId="0" fillId="2" borderId="0" xfId="0" applyNumberFormat="1" applyFill="1"/>
    <xf numFmtId="1" fontId="0" fillId="2" borderId="0" xfId="0" applyNumberFormat="1" applyFill="1"/>
    <xf numFmtId="167" fontId="0" fillId="2" borderId="0" xfId="0" applyNumberFormat="1" applyFill="1"/>
    <xf numFmtId="168" fontId="0" fillId="2" borderId="0" xfId="0" applyNumberFormat="1" applyFill="1"/>
    <xf numFmtId="168" fontId="5" fillId="2" borderId="0" xfId="0" applyNumberFormat="1" applyFont="1" applyFill="1"/>
    <xf numFmtId="167" fontId="8" fillId="2" borderId="0" xfId="0" applyNumberFormat="1" applyFont="1" applyFill="1"/>
    <xf numFmtId="1" fontId="5" fillId="2" borderId="0" xfId="0" applyNumberFormat="1" applyFont="1" applyFill="1" applyAlignment="1">
      <alignment horizontal="left"/>
    </xf>
    <xf numFmtId="1" fontId="0" fillId="2" borderId="0" xfId="0" applyNumberFormat="1" applyFill="1" applyAlignment="1">
      <alignment horizontal="left"/>
    </xf>
    <xf numFmtId="0" fontId="27" fillId="2" borderId="0" xfId="0" applyFont="1" applyFill="1" applyAlignment="1">
      <alignment vertical="center"/>
    </xf>
    <xf numFmtId="10" fontId="22" fillId="2" borderId="0" xfId="0" applyNumberFormat="1" applyFont="1" applyFill="1" applyAlignment="1">
      <alignment vertical="center"/>
    </xf>
    <xf numFmtId="0" fontId="28" fillId="2" borderId="0" xfId="0" applyFont="1" applyFill="1" applyAlignment="1">
      <alignment vertical="center"/>
    </xf>
    <xf numFmtId="10" fontId="22" fillId="2" borderId="0" xfId="0" applyNumberFormat="1" applyFont="1" applyFill="1" applyAlignment="1">
      <alignment horizontal="right" vertical="center"/>
    </xf>
    <xf numFmtId="2" fontId="22" fillId="2" borderId="0" xfId="0" applyNumberFormat="1" applyFont="1" applyFill="1" applyAlignment="1">
      <alignment horizontal="right" vertical="center"/>
    </xf>
    <xf numFmtId="0" fontId="5" fillId="2" borderId="0" xfId="0" applyFont="1" applyFill="1" applyAlignment="1">
      <alignment vertical="center"/>
    </xf>
    <xf numFmtId="1" fontId="0" fillId="2" borderId="12" xfId="0" applyNumberFormat="1" applyFill="1" applyBorder="1" applyAlignment="1">
      <alignment horizontal="left"/>
    </xf>
    <xf numFmtId="0" fontId="0" fillId="2" borderId="13" xfId="0" applyFill="1" applyBorder="1" applyAlignment="1">
      <alignment horizontal="left"/>
    </xf>
    <xf numFmtId="3" fontId="0" fillId="2" borderId="13" xfId="0" applyNumberFormat="1" applyFill="1" applyBorder="1" applyAlignment="1">
      <alignment horizontal="left"/>
    </xf>
    <xf numFmtId="3" fontId="5" fillId="2" borderId="14" xfId="0" applyNumberFormat="1" applyFont="1" applyFill="1" applyBorder="1" applyAlignment="1">
      <alignment horizontal="left"/>
    </xf>
    <xf numFmtId="3" fontId="30" fillId="2" borderId="5" xfId="0" applyNumberFormat="1" applyFont="1" applyFill="1" applyBorder="1"/>
    <xf numFmtId="164" fontId="15" fillId="2" borderId="0" xfId="0" applyNumberFormat="1" applyFont="1" applyFill="1"/>
    <xf numFmtId="168" fontId="30" fillId="2" borderId="0" xfId="0" applyNumberFormat="1" applyFont="1" applyFill="1"/>
    <xf numFmtId="0" fontId="30" fillId="2" borderId="0" xfId="0" applyFont="1" applyFill="1" applyAlignment="1">
      <alignment wrapText="1"/>
    </xf>
    <xf numFmtId="0" fontId="11" fillId="2" borderId="0" xfId="0" applyFont="1" applyFill="1" applyAlignment="1">
      <alignment horizontal="left" wrapText="1"/>
    </xf>
    <xf numFmtId="3" fontId="15" fillId="2" borderId="0" xfId="0" applyNumberFormat="1" applyFont="1" applyFill="1" applyAlignment="1">
      <alignment horizontal="right"/>
    </xf>
    <xf numFmtId="167" fontId="30" fillId="2" borderId="0" xfId="0" applyNumberFormat="1" applyFont="1" applyFill="1"/>
    <xf numFmtId="167" fontId="30" fillId="2" borderId="6" xfId="0" applyNumberFormat="1" applyFont="1" applyFill="1" applyBorder="1"/>
    <xf numFmtId="170" fontId="5" fillId="2" borderId="0" xfId="0" applyNumberFormat="1" applyFont="1" applyFill="1"/>
    <xf numFmtId="167" fontId="30" fillId="2" borderId="0" xfId="0" applyNumberFormat="1" applyFont="1" applyFill="1" applyAlignment="1">
      <alignment wrapText="1"/>
    </xf>
    <xf numFmtId="168" fontId="30" fillId="2" borderId="0" xfId="0" applyNumberFormat="1" applyFont="1" applyFill="1" applyAlignment="1">
      <alignment wrapText="1"/>
    </xf>
    <xf numFmtId="3" fontId="11" fillId="2" borderId="0" xfId="0" applyNumberFormat="1" applyFont="1" applyFill="1"/>
    <xf numFmtId="3" fontId="15" fillId="2" borderId="0" xfId="0" applyNumberFormat="1" applyFont="1" applyFill="1"/>
    <xf numFmtId="3" fontId="5" fillId="3" borderId="12" xfId="0" applyNumberFormat="1" applyFont="1" applyFill="1" applyBorder="1"/>
    <xf numFmtId="3" fontId="5" fillId="3" borderId="13" xfId="0" applyNumberFormat="1" applyFont="1" applyFill="1" applyBorder="1"/>
    <xf numFmtId="164" fontId="29" fillId="2" borderId="0" xfId="0" applyNumberFormat="1" applyFont="1" applyFill="1"/>
    <xf numFmtId="0" fontId="32" fillId="2" borderId="0" xfId="0" applyFont="1" applyFill="1"/>
    <xf numFmtId="0" fontId="22" fillId="4" borderId="16" xfId="0" applyFont="1" applyFill="1" applyBorder="1" applyAlignment="1">
      <alignment vertical="center"/>
    </xf>
    <xf numFmtId="0" fontId="26" fillId="4" borderId="17" xfId="0" applyFont="1" applyFill="1" applyBorder="1" applyAlignment="1">
      <alignment vertical="center"/>
    </xf>
    <xf numFmtId="0" fontId="27" fillId="4" borderId="17" xfId="0" applyFont="1" applyFill="1" applyBorder="1" applyAlignment="1">
      <alignment vertical="center"/>
    </xf>
    <xf numFmtId="10" fontId="22" fillId="4" borderId="18" xfId="0" applyNumberFormat="1" applyFont="1" applyFill="1" applyBorder="1" applyAlignment="1">
      <alignment vertical="center"/>
    </xf>
    <xf numFmtId="0" fontId="11" fillId="2" borderId="0" xfId="0" applyFont="1" applyFill="1" applyAlignment="1">
      <alignment vertical="center"/>
    </xf>
    <xf numFmtId="3" fontId="5" fillId="2" borderId="0" xfId="0" applyNumberFormat="1" applyFont="1" applyFill="1" applyAlignment="1">
      <alignment vertical="center"/>
    </xf>
    <xf numFmtId="0" fontId="22" fillId="4" borderId="17" xfId="0" applyFont="1" applyFill="1" applyBorder="1" applyAlignment="1">
      <alignment vertical="center"/>
    </xf>
    <xf numFmtId="10" fontId="22" fillId="4" borderId="18" xfId="0" applyNumberFormat="1" applyFont="1" applyFill="1" applyBorder="1" applyAlignment="1">
      <alignment horizontal="right" vertical="center"/>
    </xf>
    <xf numFmtId="169" fontId="30" fillId="2" borderId="0" xfId="0" applyNumberFormat="1" applyFont="1" applyFill="1"/>
    <xf numFmtId="0" fontId="8" fillId="4" borderId="17" xfId="0" applyFont="1" applyFill="1" applyBorder="1"/>
    <xf numFmtId="0" fontId="0" fillId="4" borderId="17" xfId="0" applyFill="1" applyBorder="1"/>
    <xf numFmtId="2" fontId="22" fillId="4" borderId="18" xfId="0" applyNumberFormat="1" applyFont="1" applyFill="1" applyBorder="1" applyAlignment="1">
      <alignment horizontal="right" vertical="center"/>
    </xf>
    <xf numFmtId="0" fontId="0" fillId="2" borderId="13" xfId="0" applyFill="1" applyBorder="1"/>
    <xf numFmtId="0" fontId="5" fillId="2" borderId="11" xfId="0" applyFont="1" applyFill="1" applyBorder="1"/>
    <xf numFmtId="165" fontId="0" fillId="2" borderId="13" xfId="0" applyNumberFormat="1" applyFill="1" applyBorder="1" applyAlignment="1">
      <alignment horizontal="left"/>
    </xf>
    <xf numFmtId="177" fontId="50" fillId="2" borderId="0" xfId="5" applyNumberFormat="1" applyFont="1" applyFill="1" applyAlignment="1">
      <alignment horizontal="left"/>
    </xf>
    <xf numFmtId="1" fontId="0" fillId="2" borderId="10" xfId="0" applyNumberFormat="1" applyFill="1" applyBorder="1" applyAlignment="1">
      <alignment horizontal="left"/>
    </xf>
    <xf numFmtId="3" fontId="5" fillId="2" borderId="11" xfId="0" applyNumberFormat="1" applyFont="1" applyFill="1" applyBorder="1" applyAlignment="1">
      <alignment horizontal="left"/>
    </xf>
    <xf numFmtId="0" fontId="78" fillId="2" borderId="0" xfId="3" applyFont="1" applyFill="1" applyAlignment="1">
      <alignment horizontal="left"/>
    </xf>
    <xf numFmtId="179" fontId="51" fillId="0" borderId="6" xfId="8" applyNumberFormat="1" applyFont="1" applyFill="1" applyBorder="1" applyAlignment="1" applyProtection="1">
      <protection locked="0"/>
    </xf>
    <xf numFmtId="3" fontId="5" fillId="2" borderId="10" xfId="0" applyNumberFormat="1" applyFont="1" applyFill="1" applyBorder="1" applyAlignment="1">
      <alignment horizontal="right"/>
    </xf>
    <xf numFmtId="3" fontId="5" fillId="2" borderId="12" xfId="0" applyNumberFormat="1" applyFont="1" applyFill="1" applyBorder="1" applyAlignment="1">
      <alignment horizontal="right"/>
    </xf>
    <xf numFmtId="0" fontId="5" fillId="0" borderId="0" xfId="0" applyFont="1" applyAlignment="1">
      <alignment horizontal="right"/>
    </xf>
    <xf numFmtId="2" fontId="5" fillId="0" borderId="0" xfId="0" applyNumberFormat="1" applyFont="1"/>
    <xf numFmtId="0" fontId="79" fillId="2" borderId="10" xfId="5" applyFont="1" applyFill="1" applyBorder="1"/>
    <xf numFmtId="4" fontId="5" fillId="2" borderId="11" xfId="0" applyNumberFormat="1" applyFont="1" applyFill="1" applyBorder="1" applyAlignment="1">
      <alignment horizontal="right"/>
    </xf>
    <xf numFmtId="3" fontId="5" fillId="2" borderId="11" xfId="0" applyNumberFormat="1" applyFont="1" applyFill="1" applyBorder="1" applyAlignment="1">
      <alignment horizontal="right"/>
    </xf>
    <xf numFmtId="3" fontId="0" fillId="2" borderId="11" xfId="0" applyNumberFormat="1" applyFill="1" applyBorder="1" applyAlignment="1">
      <alignment horizontal="right"/>
    </xf>
    <xf numFmtId="3" fontId="0" fillId="2" borderId="14" xfId="0" applyNumberFormat="1" applyFill="1" applyBorder="1" applyAlignment="1">
      <alignment horizontal="right"/>
    </xf>
    <xf numFmtId="3" fontId="30" fillId="2" borderId="15" xfId="0" applyNumberFormat="1" applyFont="1" applyFill="1" applyBorder="1" applyProtection="1">
      <protection locked="0"/>
    </xf>
    <xf numFmtId="167" fontId="30" fillId="2" borderId="0" xfId="0" applyNumberFormat="1" applyFont="1" applyFill="1" applyProtection="1">
      <protection locked="0"/>
    </xf>
    <xf numFmtId="168" fontId="30" fillId="2" borderId="0" xfId="0" applyNumberFormat="1" applyFont="1" applyFill="1" applyProtection="1">
      <protection locked="0"/>
    </xf>
    <xf numFmtId="4" fontId="55" fillId="2" borderId="1" xfId="5" applyNumberFormat="1" applyFont="1" applyFill="1" applyBorder="1" applyAlignment="1">
      <alignment horizontal="center" vertical="center"/>
    </xf>
    <xf numFmtId="4" fontId="55" fillId="2" borderId="3" xfId="5" applyNumberFormat="1" applyFont="1" applyFill="1" applyBorder="1" applyAlignment="1">
      <alignment horizontal="center" vertical="center"/>
    </xf>
    <xf numFmtId="0" fontId="77" fillId="2" borderId="3" xfId="0" applyFont="1" applyFill="1" applyBorder="1" applyAlignment="1">
      <alignment horizontal="center" vertical="center"/>
    </xf>
    <xf numFmtId="0" fontId="8" fillId="2" borderId="0" xfId="3" applyFont="1" applyFill="1"/>
    <xf numFmtId="49" fontId="55" fillId="2" borderId="0" xfId="5" applyNumberFormat="1" applyFont="1" applyFill="1" applyAlignment="1" applyProtection="1">
      <alignment horizontal="left" vertical="center"/>
      <protection locked="0"/>
    </xf>
    <xf numFmtId="172" fontId="51" fillId="2" borderId="0" xfId="5" applyNumberFormat="1" applyFont="1" applyFill="1" applyAlignment="1">
      <alignment horizontal="left"/>
    </xf>
    <xf numFmtId="49" fontId="55" fillId="2" borderId="11" xfId="5" applyNumberFormat="1" applyFont="1" applyFill="1" applyBorder="1" applyAlignment="1" applyProtection="1">
      <alignment horizontal="left" vertical="center"/>
      <protection locked="0"/>
    </xf>
    <xf numFmtId="172" fontId="50" fillId="2" borderId="0" xfId="5" applyNumberFormat="1" applyFont="1" applyFill="1" applyAlignment="1">
      <alignment horizontal="left"/>
    </xf>
    <xf numFmtId="0" fontId="51" fillId="2" borderId="10" xfId="5" applyFont="1" applyFill="1" applyBorder="1"/>
    <xf numFmtId="9" fontId="55" fillId="2" borderId="11" xfId="6" applyFont="1" applyFill="1" applyBorder="1" applyAlignment="1" applyProtection="1">
      <alignment horizontal="left"/>
    </xf>
    <xf numFmtId="174" fontId="56" fillId="2" borderId="0" xfId="5" applyNumberFormat="1" applyFont="1" applyFill="1"/>
    <xf numFmtId="171" fontId="54" fillId="2" borderId="11" xfId="5" applyNumberFormat="1" applyFont="1" applyFill="1" applyBorder="1"/>
    <xf numFmtId="171" fontId="56" fillId="2" borderId="11" xfId="7" applyNumberFormat="1" applyFont="1" applyFill="1" applyBorder="1" applyAlignment="1" applyProtection="1"/>
    <xf numFmtId="0" fontId="56" fillId="2" borderId="10" xfId="5" applyFont="1" applyFill="1" applyBorder="1"/>
    <xf numFmtId="0" fontId="50" fillId="2" borderId="13" xfId="5" applyFont="1" applyFill="1" applyBorder="1"/>
    <xf numFmtId="0" fontId="56" fillId="2" borderId="13" xfId="5" applyFont="1" applyFill="1" applyBorder="1"/>
    <xf numFmtId="171" fontId="51" fillId="2" borderId="14" xfId="7" applyNumberFormat="1" applyFont="1" applyFill="1" applyBorder="1" applyAlignment="1" applyProtection="1">
      <alignment horizontal="center"/>
    </xf>
    <xf numFmtId="0" fontId="50" fillId="2" borderId="10" xfId="5" applyFont="1" applyFill="1" applyBorder="1" applyAlignment="1">
      <alignment vertical="center"/>
    </xf>
    <xf numFmtId="9" fontId="53" fillId="2" borderId="0" xfId="6" applyFont="1" applyFill="1" applyBorder="1" applyAlignment="1" applyProtection="1">
      <alignment vertical="center"/>
    </xf>
    <xf numFmtId="9" fontId="50" fillId="2" borderId="0" xfId="5" applyNumberFormat="1" applyFont="1" applyFill="1" applyAlignment="1">
      <alignment horizontal="left"/>
    </xf>
    <xf numFmtId="9" fontId="5" fillId="2" borderId="0" xfId="1" applyFont="1" applyFill="1" applyBorder="1" applyProtection="1"/>
    <xf numFmtId="180" fontId="64" fillId="2" borderId="6" xfId="3" applyNumberFormat="1" applyFont="1" applyFill="1" applyBorder="1"/>
    <xf numFmtId="180" fontId="64" fillId="2" borderId="6" xfId="3" applyNumberFormat="1" applyFont="1" applyFill="1" applyBorder="1" applyAlignment="1">
      <alignment horizontal="right" wrapText="1"/>
    </xf>
    <xf numFmtId="14" fontId="64" fillId="2" borderId="6" xfId="3" applyNumberFormat="1" applyFont="1" applyFill="1" applyBorder="1"/>
    <xf numFmtId="180" fontId="64" fillId="2" borderId="6" xfId="3" applyNumberFormat="1" applyFont="1" applyFill="1" applyBorder="1" applyAlignment="1">
      <alignment horizontal="center" wrapText="1"/>
    </xf>
    <xf numFmtId="0" fontId="44" fillId="2" borderId="0" xfId="4" applyFont="1" applyFill="1" applyAlignment="1" applyProtection="1"/>
    <xf numFmtId="4" fontId="55" fillId="0" borderId="1" xfId="5" applyNumberFormat="1" applyFont="1" applyBorder="1" applyAlignment="1" applyProtection="1">
      <alignment horizontal="center" vertical="center"/>
      <protection locked="0"/>
    </xf>
    <xf numFmtId="0" fontId="77" fillId="0" borderId="3" xfId="0" applyFont="1" applyBorder="1" applyAlignment="1" applyProtection="1">
      <alignment horizontal="center" vertical="center"/>
      <protection locked="0"/>
    </xf>
    <xf numFmtId="4" fontId="55" fillId="2" borderId="1" xfId="5" applyNumberFormat="1" applyFont="1" applyFill="1" applyBorder="1" applyAlignment="1">
      <alignment horizontal="center" vertical="center"/>
    </xf>
    <xf numFmtId="0" fontId="77" fillId="2" borderId="3" xfId="0" applyFont="1" applyFill="1" applyBorder="1" applyAlignment="1">
      <alignment horizontal="center" vertical="center"/>
    </xf>
    <xf numFmtId="4" fontId="55" fillId="2" borderId="3" xfId="5" applyNumberFormat="1" applyFont="1" applyFill="1" applyBorder="1" applyAlignment="1">
      <alignment horizontal="center" vertical="center"/>
    </xf>
    <xf numFmtId="0" fontId="55" fillId="3" borderId="1" xfId="5" applyFont="1" applyFill="1" applyBorder="1" applyAlignment="1" applyProtection="1">
      <alignment horizontal="left"/>
      <protection locked="0"/>
    </xf>
    <xf numFmtId="0" fontId="81" fillId="3" borderId="3" xfId="0" applyFont="1" applyFill="1" applyBorder="1" applyAlignment="1" applyProtection="1">
      <alignment horizontal="left"/>
      <protection locked="0"/>
    </xf>
    <xf numFmtId="172" fontId="55" fillId="3" borderId="1" xfId="5" applyNumberFormat="1" applyFont="1" applyFill="1" applyBorder="1" applyAlignment="1" applyProtection="1">
      <alignment horizontal="left" vertical="center" wrapText="1"/>
      <protection locked="0"/>
    </xf>
    <xf numFmtId="0" fontId="81" fillId="3" borderId="2" xfId="0" applyFont="1" applyFill="1" applyBorder="1" applyAlignment="1" applyProtection="1">
      <alignment horizontal="left" vertical="center" wrapText="1"/>
      <protection locked="0"/>
    </xf>
    <xf numFmtId="0" fontId="81" fillId="3" borderId="3" xfId="0" applyFont="1" applyFill="1" applyBorder="1" applyAlignment="1" applyProtection="1">
      <alignment horizontal="left" vertical="center" wrapText="1"/>
      <protection locked="0"/>
    </xf>
    <xf numFmtId="4" fontId="55" fillId="3" borderId="1" xfId="5" applyNumberFormat="1" applyFont="1" applyFill="1" applyBorder="1" applyAlignment="1" applyProtection="1">
      <alignment horizontal="center" vertical="center"/>
      <protection locked="0"/>
    </xf>
    <xf numFmtId="4" fontId="55" fillId="3" borderId="3" xfId="5" applyNumberFormat="1" applyFont="1" applyFill="1" applyBorder="1" applyAlignment="1" applyProtection="1">
      <alignment horizontal="center" vertical="center"/>
      <protection locked="0"/>
    </xf>
    <xf numFmtId="49" fontId="55" fillId="3" borderId="1" xfId="5" applyNumberFormat="1" applyFont="1" applyFill="1" applyBorder="1" applyAlignment="1" applyProtection="1">
      <alignment horizontal="left" vertical="center"/>
      <protection locked="0"/>
    </xf>
    <xf numFmtId="49" fontId="55" fillId="3" borderId="2" xfId="5" applyNumberFormat="1" applyFont="1" applyFill="1" applyBorder="1" applyAlignment="1" applyProtection="1">
      <alignment horizontal="left" vertical="center"/>
      <protection locked="0"/>
    </xf>
    <xf numFmtId="49" fontId="55" fillId="3" borderId="8" xfId="5" applyNumberFormat="1" applyFont="1" applyFill="1" applyBorder="1" applyAlignment="1" applyProtection="1">
      <alignment horizontal="left" vertical="center"/>
      <protection locked="0"/>
    </xf>
    <xf numFmtId="49" fontId="55" fillId="3" borderId="9" xfId="5" applyNumberFormat="1" applyFont="1" applyFill="1" applyBorder="1" applyAlignment="1" applyProtection="1">
      <alignment horizontal="left" vertical="center"/>
      <protection locked="0"/>
    </xf>
    <xf numFmtId="49" fontId="55" fillId="3" borderId="3" xfId="5" applyNumberFormat="1" applyFont="1" applyFill="1" applyBorder="1" applyAlignment="1" applyProtection="1">
      <alignment horizontal="left" vertical="center"/>
      <protection locked="0"/>
    </xf>
    <xf numFmtId="49" fontId="55" fillId="3" borderId="7" xfId="5" applyNumberFormat="1" applyFont="1" applyFill="1" applyBorder="1" applyAlignment="1" applyProtection="1">
      <alignment horizontal="left" vertical="center"/>
      <protection locked="0"/>
    </xf>
    <xf numFmtId="9" fontId="55" fillId="3" borderId="1" xfId="1" applyFont="1" applyFill="1" applyBorder="1" applyAlignment="1" applyProtection="1">
      <alignment horizontal="center" vertical="center"/>
      <protection locked="0"/>
    </xf>
    <xf numFmtId="9" fontId="55" fillId="3" borderId="3" xfId="1" applyFont="1" applyFill="1" applyBorder="1" applyAlignment="1" applyProtection="1">
      <alignment horizontal="center" vertical="center"/>
      <protection locked="0"/>
    </xf>
    <xf numFmtId="0" fontId="50" fillId="3" borderId="26" xfId="5" applyFont="1" applyFill="1" applyBorder="1" applyAlignment="1" applyProtection="1">
      <alignment horizontal="left"/>
      <protection locked="0"/>
    </xf>
    <xf numFmtId="0" fontId="50" fillId="3" borderId="27" xfId="5" applyFont="1" applyFill="1" applyBorder="1" applyAlignment="1" applyProtection="1">
      <alignment horizontal="left"/>
      <protection locked="0"/>
    </xf>
    <xf numFmtId="0" fontId="52" fillId="3" borderId="25" xfId="5" applyFont="1" applyFill="1" applyBorder="1" applyAlignment="1" applyProtection="1">
      <alignment horizontal="left"/>
      <protection locked="0"/>
    </xf>
    <xf numFmtId="0" fontId="52" fillId="3" borderId="20" xfId="5" applyFont="1" applyFill="1" applyBorder="1" applyAlignment="1" applyProtection="1">
      <alignment horizontal="left"/>
      <protection locked="0"/>
    </xf>
    <xf numFmtId="0" fontId="50" fillId="3" borderId="25" xfId="5" applyFont="1" applyFill="1" applyBorder="1" applyAlignment="1" applyProtection="1">
      <alignment horizontal="left"/>
      <protection locked="0"/>
    </xf>
    <xf numFmtId="0" fontId="50" fillId="3" borderId="20" xfId="5" applyFont="1" applyFill="1" applyBorder="1" applyAlignment="1" applyProtection="1">
      <alignment horizontal="left"/>
      <protection locked="0"/>
    </xf>
    <xf numFmtId="0" fontId="52" fillId="3" borderId="23" xfId="5" applyFont="1" applyFill="1" applyBorder="1" applyAlignment="1" applyProtection="1">
      <alignment horizontal="left"/>
      <protection locked="0"/>
    </xf>
    <xf numFmtId="0" fontId="52" fillId="3" borderId="24" xfId="5" applyFont="1" applyFill="1" applyBorder="1" applyAlignment="1" applyProtection="1">
      <alignment horizontal="left"/>
      <protection locked="0"/>
    </xf>
    <xf numFmtId="0" fontId="0" fillId="3" borderId="3" xfId="0" applyFill="1" applyBorder="1" applyAlignment="1" applyProtection="1">
      <alignment horizontal="center" vertical="center"/>
      <protection locked="0"/>
    </xf>
    <xf numFmtId="0" fontId="0" fillId="0" borderId="3" xfId="0" applyBorder="1" applyAlignment="1">
      <alignment horizontal="center" vertical="center"/>
    </xf>
    <xf numFmtId="0" fontId="0" fillId="2" borderId="3" xfId="0" applyFill="1" applyBorder="1" applyAlignment="1">
      <alignment horizontal="center" vertical="center"/>
    </xf>
    <xf numFmtId="1" fontId="55" fillId="3" borderId="1" xfId="5"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173" fontId="55" fillId="3" borderId="1" xfId="5" applyNumberFormat="1" applyFont="1" applyFill="1" applyBorder="1" applyAlignment="1" applyProtection="1">
      <alignment horizontal="center" vertical="center"/>
      <protection locked="0"/>
    </xf>
    <xf numFmtId="173" fontId="55" fillId="3" borderId="3" xfId="5" applyNumberFormat="1" applyFont="1" applyFill="1" applyBorder="1" applyAlignment="1" applyProtection="1">
      <alignment horizontal="center" vertical="center"/>
      <protection locked="0"/>
    </xf>
    <xf numFmtId="1" fontId="0" fillId="3" borderId="3" xfId="0" applyNumberFormat="1" applyFill="1" applyBorder="1" applyAlignment="1" applyProtection="1">
      <alignment horizontal="center" vertical="center"/>
      <protection locked="0"/>
    </xf>
    <xf numFmtId="0" fontId="50" fillId="3" borderId="23" xfId="5" applyFont="1" applyFill="1" applyBorder="1" applyAlignment="1" applyProtection="1">
      <alignment horizontal="left"/>
      <protection locked="0"/>
    </xf>
    <xf numFmtId="0" fontId="50" fillId="3" borderId="24" xfId="5" applyFont="1" applyFill="1" applyBorder="1" applyAlignment="1" applyProtection="1">
      <alignment horizontal="left"/>
      <protection locked="0"/>
    </xf>
    <xf numFmtId="0" fontId="58" fillId="2" borderId="0" xfId="5" applyFont="1" applyFill="1"/>
    <xf numFmtId="0" fontId="59" fillId="2" borderId="0" xfId="5" applyFont="1" applyFill="1"/>
    <xf numFmtId="0" fontId="28" fillId="3" borderId="7" xfId="3" applyFont="1" applyFill="1" applyBorder="1" applyAlignment="1" applyProtection="1">
      <alignment horizontal="left" vertical="top" wrapText="1"/>
      <protection locked="0"/>
    </xf>
    <xf numFmtId="0" fontId="28" fillId="3" borderId="8" xfId="3" applyFont="1" applyFill="1" applyBorder="1" applyAlignment="1" applyProtection="1">
      <alignment horizontal="left" vertical="top" wrapText="1"/>
      <protection locked="0"/>
    </xf>
    <xf numFmtId="0" fontId="28" fillId="3" borderId="9" xfId="3" applyFont="1" applyFill="1" applyBorder="1" applyAlignment="1" applyProtection="1">
      <alignment horizontal="left" vertical="top" wrapText="1"/>
      <protection locked="0"/>
    </xf>
    <xf numFmtId="0" fontId="28" fillId="3" borderId="10" xfId="3" applyFont="1" applyFill="1" applyBorder="1" applyAlignment="1" applyProtection="1">
      <alignment horizontal="left" vertical="top" wrapText="1"/>
      <protection locked="0"/>
    </xf>
    <xf numFmtId="0" fontId="28" fillId="3" borderId="0" xfId="3" applyFont="1" applyFill="1" applyAlignment="1" applyProtection="1">
      <alignment horizontal="left" vertical="top" wrapText="1"/>
      <protection locked="0"/>
    </xf>
    <xf numFmtId="0" fontId="28" fillId="3" borderId="11" xfId="3" applyFont="1" applyFill="1" applyBorder="1" applyAlignment="1" applyProtection="1">
      <alignment horizontal="left" vertical="top" wrapText="1"/>
      <protection locked="0"/>
    </xf>
    <xf numFmtId="0" fontId="28" fillId="3" borderId="12" xfId="3" applyFont="1" applyFill="1" applyBorder="1" applyAlignment="1" applyProtection="1">
      <alignment horizontal="left" vertical="top" wrapText="1"/>
      <protection locked="0"/>
    </xf>
    <xf numFmtId="0" fontId="28" fillId="3" borderId="13" xfId="3" applyFont="1" applyFill="1" applyBorder="1" applyAlignment="1" applyProtection="1">
      <alignment horizontal="left" vertical="top" wrapText="1"/>
      <protection locked="0"/>
    </xf>
    <xf numFmtId="0" fontId="28" fillId="3" borderId="14" xfId="3" applyFont="1" applyFill="1" applyBorder="1" applyAlignment="1" applyProtection="1">
      <alignment horizontal="left" vertical="top" wrapText="1"/>
      <protection locked="0"/>
    </xf>
    <xf numFmtId="0" fontId="51" fillId="2" borderId="1" xfId="5" applyFont="1" applyFill="1" applyBorder="1" applyAlignment="1">
      <alignment horizontal="left"/>
    </xf>
    <xf numFmtId="0" fontId="51" fillId="2" borderId="2" xfId="5" applyFont="1" applyFill="1" applyBorder="1" applyAlignment="1">
      <alignment horizontal="left"/>
    </xf>
    <xf numFmtId="0" fontId="51" fillId="2" borderId="3" xfId="5" applyFont="1" applyFill="1" applyBorder="1" applyAlignment="1">
      <alignment horizontal="left"/>
    </xf>
    <xf numFmtId="0" fontId="50" fillId="3" borderId="23" xfId="5" applyFont="1" applyFill="1" applyBorder="1" applyAlignment="1" applyProtection="1">
      <alignment horizontal="center"/>
      <protection locked="0"/>
    </xf>
    <xf numFmtId="0" fontId="50" fillId="3" borderId="24" xfId="5" applyFont="1" applyFill="1" applyBorder="1" applyAlignment="1" applyProtection="1">
      <alignment horizontal="center"/>
      <protection locked="0"/>
    </xf>
    <xf numFmtId="0" fontId="50" fillId="3" borderId="26" xfId="5" applyFont="1" applyFill="1" applyBorder="1" applyAlignment="1" applyProtection="1">
      <alignment horizontal="center"/>
      <protection locked="0"/>
    </xf>
    <xf numFmtId="0" fontId="50" fillId="3" borderId="27" xfId="5" applyFont="1" applyFill="1" applyBorder="1" applyAlignment="1" applyProtection="1">
      <alignment horizontal="center"/>
      <protection locked="0"/>
    </xf>
    <xf numFmtId="0" fontId="5" fillId="3" borderId="7" xfId="3" applyFont="1" applyFill="1" applyBorder="1" applyAlignment="1" applyProtection="1">
      <alignment horizontal="left" vertical="top" wrapText="1"/>
      <protection locked="0"/>
    </xf>
    <xf numFmtId="0" fontId="5" fillId="3" borderId="8" xfId="3" applyFont="1" applyFill="1" applyBorder="1" applyAlignment="1" applyProtection="1">
      <alignment horizontal="left" vertical="top" wrapText="1"/>
      <protection locked="0"/>
    </xf>
    <xf numFmtId="0" fontId="5" fillId="3" borderId="9" xfId="3" applyFont="1" applyFill="1" applyBorder="1" applyAlignment="1" applyProtection="1">
      <alignment horizontal="left" vertical="top" wrapText="1"/>
      <protection locked="0"/>
    </xf>
    <xf numFmtId="0" fontId="5" fillId="3" borderId="10" xfId="3" applyFont="1" applyFill="1" applyBorder="1" applyAlignment="1" applyProtection="1">
      <alignment horizontal="left" vertical="top" wrapText="1"/>
      <protection locked="0"/>
    </xf>
    <xf numFmtId="0" fontId="5" fillId="3" borderId="0" xfId="3" applyFont="1" applyFill="1" applyAlignment="1" applyProtection="1">
      <alignment horizontal="left" vertical="top" wrapText="1"/>
      <protection locked="0"/>
    </xf>
    <xf numFmtId="0" fontId="5" fillId="3" borderId="11" xfId="3" applyFont="1" applyFill="1" applyBorder="1" applyAlignment="1" applyProtection="1">
      <alignment horizontal="left" vertical="top" wrapText="1"/>
      <protection locked="0"/>
    </xf>
    <xf numFmtId="0" fontId="5" fillId="3" borderId="12" xfId="3" applyFont="1" applyFill="1" applyBorder="1" applyAlignment="1" applyProtection="1">
      <alignment horizontal="left" vertical="top" wrapText="1"/>
      <protection locked="0"/>
    </xf>
    <xf numFmtId="0" fontId="5" fillId="3" borderId="13" xfId="3" applyFont="1" applyFill="1" applyBorder="1" applyAlignment="1" applyProtection="1">
      <alignment horizontal="left" vertical="top" wrapText="1"/>
      <protection locked="0"/>
    </xf>
    <xf numFmtId="0" fontId="5" fillId="3" borderId="14" xfId="3" applyFont="1" applyFill="1" applyBorder="1" applyAlignment="1" applyProtection="1">
      <alignment horizontal="left" vertical="top" wrapText="1"/>
      <protection locked="0"/>
    </xf>
    <xf numFmtId="0" fontId="55" fillId="2" borderId="0" xfId="3" applyFont="1" applyFill="1" applyAlignment="1">
      <alignment horizontal="left"/>
    </xf>
    <xf numFmtId="0" fontId="0" fillId="0" borderId="0" xfId="0" applyAlignment="1">
      <alignment horizontal="left"/>
    </xf>
    <xf numFmtId="0" fontId="5" fillId="3" borderId="10" xfId="0" applyFont="1" applyFill="1" applyBorder="1" applyProtection="1">
      <protection locked="0"/>
    </xf>
    <xf numFmtId="0" fontId="5" fillId="3" borderId="0" xfId="0" applyFont="1" applyFill="1" applyProtection="1">
      <protection locked="0"/>
    </xf>
    <xf numFmtId="0" fontId="5" fillId="3" borderId="11" xfId="0" applyFont="1" applyFill="1" applyBorder="1" applyProtection="1">
      <protection locked="0"/>
    </xf>
    <xf numFmtId="0" fontId="5" fillId="2" borderId="1" xfId="0" applyFont="1" applyFill="1" applyBorder="1"/>
    <xf numFmtId="0" fontId="5" fillId="2" borderId="2" xfId="0" applyFont="1" applyFill="1" applyBorder="1"/>
    <xf numFmtId="0" fontId="5" fillId="2" borderId="3" xfId="0" applyFont="1" applyFill="1" applyBorder="1"/>
    <xf numFmtId="3" fontId="5" fillId="3" borderId="1" xfId="0" applyNumberFormat="1" applyFont="1" applyFill="1" applyBorder="1" applyAlignment="1" applyProtection="1">
      <alignment horizontal="left" vertical="top" wrapText="1"/>
      <protection locked="0"/>
    </xf>
    <xf numFmtId="0" fontId="0" fillId="3" borderId="2" xfId="0" applyFill="1" applyBorder="1" applyAlignment="1" applyProtection="1">
      <alignment vertical="top" wrapText="1"/>
      <protection locked="0"/>
    </xf>
    <xf numFmtId="0" fontId="0" fillId="3" borderId="3" xfId="0" applyFill="1" applyBorder="1" applyAlignment="1" applyProtection="1">
      <alignment vertical="top" wrapText="1"/>
      <protection locked="0"/>
    </xf>
    <xf numFmtId="49" fontId="5" fillId="3" borderId="1" xfId="0" applyNumberFormat="1" applyFont="1" applyFill="1" applyBorder="1" applyAlignment="1" applyProtection="1">
      <alignment vertical="top" wrapText="1"/>
      <protection locked="0"/>
    </xf>
    <xf numFmtId="49" fontId="5" fillId="3" borderId="2" xfId="0" applyNumberFormat="1" applyFont="1" applyFill="1" applyBorder="1" applyAlignment="1" applyProtection="1">
      <alignment vertical="top" wrapText="1"/>
      <protection locked="0"/>
    </xf>
    <xf numFmtId="0" fontId="0" fillId="3" borderId="2" xfId="0" applyFill="1" applyBorder="1" applyProtection="1">
      <protection locked="0"/>
    </xf>
    <xf numFmtId="0" fontId="0" fillId="3" borderId="3" xfId="0" applyFill="1" applyBorder="1" applyProtection="1">
      <protection locked="0"/>
    </xf>
    <xf numFmtId="0" fontId="5" fillId="3" borderId="7" xfId="0" applyFont="1" applyFill="1" applyBorder="1"/>
    <xf numFmtId="0" fontId="5" fillId="3" borderId="8" xfId="0" applyFont="1" applyFill="1" applyBorder="1"/>
    <xf numFmtId="0" fontId="5" fillId="3" borderId="9" xfId="0" applyFont="1" applyFill="1" applyBorder="1"/>
    <xf numFmtId="49" fontId="5" fillId="3" borderId="10" xfId="0" applyNumberFormat="1" applyFont="1" applyFill="1" applyBorder="1" applyProtection="1">
      <protection locked="0"/>
    </xf>
    <xf numFmtId="49" fontId="0" fillId="3" borderId="0" xfId="0" applyNumberFormat="1" applyFill="1" applyProtection="1">
      <protection locked="0"/>
    </xf>
    <xf numFmtId="49" fontId="0" fillId="3" borderId="11" xfId="0" applyNumberFormat="1" applyFill="1" applyBorder="1" applyProtection="1">
      <protection locked="0"/>
    </xf>
    <xf numFmtId="49" fontId="5" fillId="3" borderId="12" xfId="0" applyNumberFormat="1" applyFont="1" applyFill="1" applyBorder="1" applyProtection="1">
      <protection locked="0"/>
    </xf>
    <xf numFmtId="49" fontId="0" fillId="3" borderId="13" xfId="0" applyNumberFormat="1" applyFill="1" applyBorder="1" applyProtection="1">
      <protection locked="0"/>
    </xf>
    <xf numFmtId="49" fontId="0" fillId="3" borderId="14" xfId="0" applyNumberFormat="1" applyFill="1" applyBorder="1" applyProtection="1">
      <protection locked="0"/>
    </xf>
    <xf numFmtId="0" fontId="4" fillId="2" borderId="0" xfId="0" applyFont="1" applyFill="1"/>
    <xf numFmtId="0" fontId="0" fillId="2" borderId="0" xfId="0" applyFill="1"/>
    <xf numFmtId="0" fontId="5" fillId="3" borderId="7" xfId="0" applyFont="1" applyFill="1" applyBorder="1" applyProtection="1">
      <protection locked="0"/>
    </xf>
    <xf numFmtId="0" fontId="5" fillId="3" borderId="8" xfId="0" applyFont="1" applyFill="1" applyBorder="1" applyProtection="1">
      <protection locked="0"/>
    </xf>
    <xf numFmtId="0" fontId="5" fillId="3" borderId="9" xfId="0" applyFont="1" applyFill="1" applyBorder="1" applyProtection="1">
      <protection locked="0"/>
    </xf>
    <xf numFmtId="0" fontId="30" fillId="3" borderId="0" xfId="0" applyFont="1" applyFill="1" applyProtection="1">
      <protection locked="0"/>
    </xf>
    <xf numFmtId="0" fontId="30" fillId="3" borderId="11" xfId="0" applyFont="1" applyFill="1" applyBorder="1" applyProtection="1">
      <protection locked="0"/>
    </xf>
    <xf numFmtId="0" fontId="5" fillId="3" borderId="12" xfId="0" applyFont="1" applyFill="1" applyBorder="1" applyProtection="1">
      <protection locked="0"/>
    </xf>
    <xf numFmtId="0" fontId="30" fillId="3" borderId="13" xfId="0" applyFont="1" applyFill="1" applyBorder="1" applyProtection="1">
      <protection locked="0"/>
    </xf>
    <xf numFmtId="0" fontId="30" fillId="3" borderId="14" xfId="0" applyFont="1" applyFill="1" applyBorder="1" applyProtection="1">
      <protection locked="0"/>
    </xf>
    <xf numFmtId="0" fontId="30" fillId="3" borderId="8" xfId="0" applyFont="1" applyFill="1" applyBorder="1" applyProtection="1">
      <protection locked="0"/>
    </xf>
    <xf numFmtId="0" fontId="30" fillId="3" borderId="9" xfId="0" applyFont="1" applyFill="1" applyBorder="1" applyProtection="1">
      <protection locked="0"/>
    </xf>
    <xf numFmtId="0" fontId="5" fillId="3" borderId="1"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165" fontId="5" fillId="2" borderId="10" xfId="0" applyNumberFormat="1" applyFont="1" applyFill="1" applyBorder="1" applyAlignment="1">
      <alignment horizontal="right"/>
    </xf>
    <xf numFmtId="165" fontId="0" fillId="2" borderId="11" xfId="0" applyNumberFormat="1" applyFill="1" applyBorder="1" applyAlignment="1">
      <alignment horizontal="right"/>
    </xf>
    <xf numFmtId="0" fontId="72" fillId="2" borderId="10" xfId="0" applyFont="1" applyFill="1" applyBorder="1" applyAlignment="1">
      <alignment horizontal="left" vertical="center"/>
    </xf>
    <xf numFmtId="0" fontId="73" fillId="0" borderId="10" xfId="0" applyFont="1" applyBorder="1" applyAlignment="1">
      <alignment horizontal="left" vertical="center"/>
    </xf>
    <xf numFmtId="3" fontId="5" fillId="2" borderId="7" xfId="0" applyNumberFormat="1" applyFont="1" applyFill="1" applyBorder="1" applyAlignment="1">
      <alignment horizontal="right"/>
    </xf>
    <xf numFmtId="0" fontId="0" fillId="2" borderId="9" xfId="0" applyFill="1" applyBorder="1" applyAlignment="1">
      <alignment horizontal="right"/>
    </xf>
    <xf numFmtId="3" fontId="5" fillId="2" borderId="10" xfId="0" applyNumberFormat="1" applyFont="1" applyFill="1" applyBorder="1" applyAlignment="1">
      <alignment horizontal="right"/>
    </xf>
    <xf numFmtId="0" fontId="0" fillId="2" borderId="11" xfId="0" applyFill="1" applyBorder="1" applyAlignment="1">
      <alignment horizontal="right"/>
    </xf>
    <xf numFmtId="0" fontId="30" fillId="2" borderId="1" xfId="0" applyFont="1" applyFill="1" applyBorder="1" applyAlignment="1">
      <alignment vertical="top" wrapText="1"/>
    </xf>
    <xf numFmtId="0" fontId="30" fillId="2" borderId="2" xfId="0" applyFont="1" applyFill="1" applyBorder="1" applyAlignment="1">
      <alignment vertical="top" wrapText="1"/>
    </xf>
    <xf numFmtId="0" fontId="30" fillId="2" borderId="3" xfId="0" applyFont="1" applyFill="1" applyBorder="1" applyAlignment="1">
      <alignment vertical="top" wrapText="1"/>
    </xf>
    <xf numFmtId="0" fontId="5" fillId="2" borderId="11" xfId="0" applyFont="1" applyFill="1" applyBorder="1" applyAlignment="1">
      <alignment horizontal="right"/>
    </xf>
    <xf numFmtId="3" fontId="16" fillId="2" borderId="10" xfId="0" applyNumberFormat="1" applyFont="1" applyFill="1" applyBorder="1" applyAlignment="1">
      <alignment horizontal="right"/>
    </xf>
    <xf numFmtId="0" fontId="82" fillId="2" borderId="11" xfId="0" applyFont="1" applyFill="1" applyBorder="1" applyAlignment="1">
      <alignment horizontal="right"/>
    </xf>
    <xf numFmtId="3" fontId="5" fillId="2" borderId="12" xfId="0" applyNumberFormat="1" applyFont="1" applyFill="1" applyBorder="1" applyAlignment="1">
      <alignment horizontal="right"/>
    </xf>
    <xf numFmtId="0" fontId="5" fillId="2" borderId="14" xfId="0" applyFont="1" applyFill="1" applyBorder="1" applyAlignment="1">
      <alignment horizontal="right"/>
    </xf>
    <xf numFmtId="3" fontId="16" fillId="2" borderId="7" xfId="0" applyNumberFormat="1" applyFont="1" applyFill="1" applyBorder="1" applyAlignment="1">
      <alignment horizontal="right"/>
    </xf>
    <xf numFmtId="0" fontId="82" fillId="2" borderId="9" xfId="0" applyFont="1" applyFill="1" applyBorder="1" applyAlignment="1">
      <alignment horizontal="right"/>
    </xf>
    <xf numFmtId="3" fontId="8" fillId="2" borderId="0" xfId="0" applyNumberFormat="1" applyFont="1" applyFill="1" applyAlignment="1">
      <alignment horizontal="right"/>
    </xf>
    <xf numFmtId="0" fontId="5" fillId="2" borderId="1" xfId="0" applyFont="1"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5" fillId="2" borderId="0" xfId="0" applyFont="1" applyFill="1" applyAlignment="1">
      <alignment wrapText="1"/>
    </xf>
    <xf numFmtId="0" fontId="0" fillId="0" borderId="0" xfId="0" applyAlignment="1">
      <alignment wrapText="1"/>
    </xf>
    <xf numFmtId="0" fontId="5" fillId="2" borderId="12" xfId="0" applyFont="1" applyFill="1" applyBorder="1"/>
    <xf numFmtId="0" fontId="5" fillId="2" borderId="13" xfId="0" applyFont="1" applyFill="1" applyBorder="1"/>
    <xf numFmtId="0" fontId="5" fillId="2" borderId="14" xfId="0" applyFont="1" applyFill="1" applyBorder="1"/>
    <xf numFmtId="0" fontId="0" fillId="2" borderId="13" xfId="0" applyFill="1" applyBorder="1"/>
    <xf numFmtId="0" fontId="5" fillId="2" borderId="7" xfId="0" applyFont="1" applyFill="1" applyBorder="1"/>
    <xf numFmtId="0" fontId="5" fillId="2" borderId="8" xfId="0" applyFont="1" applyFill="1" applyBorder="1"/>
    <xf numFmtId="0" fontId="5" fillId="2" borderId="9" xfId="0" applyFont="1" applyFill="1" applyBorder="1"/>
    <xf numFmtId="0" fontId="5" fillId="2" borderId="10" xfId="0" applyFont="1" applyFill="1" applyBorder="1"/>
    <xf numFmtId="0" fontId="5" fillId="2" borderId="0" xfId="0" applyFont="1" applyFill="1"/>
    <xf numFmtId="0" fontId="5" fillId="2" borderId="11" xfId="0" applyFont="1" applyFill="1" applyBorder="1"/>
    <xf numFmtId="0" fontId="5" fillId="2" borderId="10" xfId="0" applyFont="1" applyFill="1" applyBorder="1" applyAlignment="1">
      <alignment vertical="center" wrapText="1"/>
    </xf>
    <xf numFmtId="0" fontId="5" fillId="2" borderId="0" xfId="0" applyFont="1" applyFill="1" applyAlignment="1">
      <alignment vertical="center" wrapText="1"/>
    </xf>
    <xf numFmtId="0" fontId="5" fillId="2" borderId="11" xfId="0" applyFont="1" applyFill="1" applyBorder="1" applyAlignment="1">
      <alignment vertical="center" wrapText="1"/>
    </xf>
    <xf numFmtId="3" fontId="5" fillId="2" borderId="10" xfId="0" applyNumberFormat="1" applyFont="1" applyFill="1" applyBorder="1" applyAlignment="1">
      <alignment horizontal="left"/>
    </xf>
    <xf numFmtId="0" fontId="0" fillId="2" borderId="0" xfId="0" applyFill="1" applyAlignment="1">
      <alignment horizontal="left"/>
    </xf>
    <xf numFmtId="165" fontId="0" fillId="2" borderId="0" xfId="0" applyNumberFormat="1" applyFill="1" applyAlignment="1">
      <alignment horizontal="left"/>
    </xf>
    <xf numFmtId="9" fontId="5" fillId="2" borderId="1" xfId="0" applyNumberFormat="1" applyFont="1" applyFill="1" applyBorder="1"/>
    <xf numFmtId="9" fontId="0" fillId="2" borderId="3" xfId="0" applyNumberFormat="1" applyFill="1" applyBorder="1"/>
    <xf numFmtId="9" fontId="0" fillId="2" borderId="2" xfId="0" applyNumberFormat="1" applyFill="1" applyBorder="1"/>
    <xf numFmtId="0" fontId="30" fillId="2" borderId="13" xfId="0" applyFont="1" applyFill="1" applyBorder="1"/>
    <xf numFmtId="3" fontId="5" fillId="2" borderId="1" xfId="0" applyNumberFormat="1" applyFont="1" applyFill="1" applyBorder="1"/>
    <xf numFmtId="0" fontId="0" fillId="2" borderId="3" xfId="0" applyFill="1" applyBorder="1"/>
    <xf numFmtId="1" fontId="5" fillId="2" borderId="0" xfId="0" applyNumberFormat="1" applyFont="1" applyFill="1" applyAlignment="1">
      <alignment horizontal="right"/>
    </xf>
    <xf numFmtId="167" fontId="30" fillId="3" borderId="7" xfId="0" applyNumberFormat="1" applyFont="1" applyFill="1" applyBorder="1" applyAlignment="1" applyProtection="1">
      <alignment horizontal="right" vertical="center"/>
      <protection locked="0"/>
    </xf>
    <xf numFmtId="167" fontId="30" fillId="3" borderId="8" xfId="0" applyNumberFormat="1" applyFont="1" applyFill="1" applyBorder="1" applyAlignment="1" applyProtection="1">
      <alignment horizontal="right" vertical="center"/>
      <protection locked="0"/>
    </xf>
    <xf numFmtId="167" fontId="30" fillId="3" borderId="9" xfId="0" applyNumberFormat="1" applyFont="1" applyFill="1" applyBorder="1" applyAlignment="1" applyProtection="1">
      <alignment horizontal="right" vertical="center"/>
      <protection locked="0"/>
    </xf>
    <xf numFmtId="0" fontId="0" fillId="0" borderId="10" xfId="0" applyBorder="1" applyAlignment="1" applyProtection="1">
      <alignment horizontal="right" vertical="center"/>
      <protection locked="0"/>
    </xf>
    <xf numFmtId="0" fontId="0" fillId="0" borderId="0" xfId="0"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167" fontId="0" fillId="3" borderId="8" xfId="0" applyNumberFormat="1" applyFill="1" applyBorder="1" applyAlignment="1" applyProtection="1">
      <alignment horizontal="right" vertical="center"/>
      <protection locked="0"/>
    </xf>
    <xf numFmtId="167" fontId="0" fillId="3" borderId="9" xfId="0" applyNumberFormat="1" applyFill="1" applyBorder="1" applyAlignment="1" applyProtection="1">
      <alignment horizontal="right" vertical="center"/>
      <protection locked="0"/>
    </xf>
    <xf numFmtId="167" fontId="0" fillId="3" borderId="12" xfId="0" applyNumberFormat="1" applyFill="1" applyBorder="1" applyAlignment="1" applyProtection="1">
      <alignment horizontal="right" vertical="center"/>
      <protection locked="0"/>
    </xf>
    <xf numFmtId="167" fontId="0" fillId="3" borderId="13" xfId="0" applyNumberFormat="1" applyFill="1" applyBorder="1" applyAlignment="1" applyProtection="1">
      <alignment horizontal="right" vertical="center"/>
      <protection locked="0"/>
    </xf>
    <xf numFmtId="167" fontId="0" fillId="3" borderId="14" xfId="0" applyNumberFormat="1" applyFill="1" applyBorder="1" applyAlignment="1" applyProtection="1">
      <alignment horizontal="right" vertical="center"/>
      <protection locked="0"/>
    </xf>
    <xf numFmtId="0" fontId="0" fillId="2" borderId="13" xfId="0" applyFill="1" applyBorder="1" applyAlignment="1">
      <alignment wrapText="1"/>
    </xf>
    <xf numFmtId="0" fontId="30" fillId="2" borderId="0" xfId="0" applyFont="1" applyFill="1"/>
    <xf numFmtId="0" fontId="5" fillId="2" borderId="0" xfId="0" applyFont="1" applyFill="1" applyAlignment="1">
      <alignment horizontal="left"/>
    </xf>
    <xf numFmtId="0" fontId="30" fillId="2" borderId="0" xfId="0" applyFont="1" applyFill="1" applyAlignment="1">
      <alignment horizontal="left"/>
    </xf>
    <xf numFmtId="168" fontId="30" fillId="3" borderId="4" xfId="0" applyNumberFormat="1" applyFont="1" applyFill="1" applyBorder="1" applyAlignment="1" applyProtection="1">
      <alignment vertical="center"/>
      <protection locked="0"/>
    </xf>
    <xf numFmtId="0" fontId="0" fillId="3" borderId="5" xfId="0" applyFill="1" applyBorder="1" applyAlignment="1" applyProtection="1">
      <alignment vertical="center"/>
      <protection locked="0"/>
    </xf>
    <xf numFmtId="0" fontId="0" fillId="3" borderId="15" xfId="0" applyFill="1" applyBorder="1" applyAlignment="1" applyProtection="1">
      <alignment vertical="center"/>
      <protection locked="0"/>
    </xf>
    <xf numFmtId="0" fontId="30" fillId="2" borderId="0" xfId="0" applyFont="1" applyFill="1" applyAlignment="1">
      <alignment wrapText="1"/>
    </xf>
    <xf numFmtId="0" fontId="30" fillId="2" borderId="13" xfId="0" applyFont="1" applyFill="1" applyBorder="1" applyAlignment="1">
      <alignment wrapText="1"/>
    </xf>
    <xf numFmtId="167" fontId="5" fillId="3" borderId="1" xfId="0" applyNumberFormat="1" applyFont="1" applyFill="1" applyBorder="1" applyProtection="1">
      <protection locked="0"/>
    </xf>
    <xf numFmtId="167" fontId="30" fillId="3" borderId="2" xfId="0" applyNumberFormat="1" applyFont="1" applyFill="1" applyBorder="1" applyProtection="1">
      <protection locked="0"/>
    </xf>
    <xf numFmtId="167" fontId="30" fillId="3" borderId="3" xfId="0" applyNumberFormat="1" applyFont="1" applyFill="1" applyBorder="1" applyProtection="1">
      <protection locked="0"/>
    </xf>
    <xf numFmtId="0" fontId="15" fillId="2" borderId="0" xfId="0" applyFont="1" applyFill="1" applyAlignment="1">
      <alignment wrapText="1"/>
    </xf>
    <xf numFmtId="3" fontId="15" fillId="2" borderId="0" xfId="0" applyNumberFormat="1" applyFont="1" applyFill="1"/>
    <xf numFmtId="0" fontId="15" fillId="2" borderId="0" xfId="0" applyFont="1" applyFill="1"/>
    <xf numFmtId="167" fontId="5" fillId="2" borderId="0" xfId="0" applyNumberFormat="1" applyFont="1" applyFill="1"/>
    <xf numFmtId="167" fontId="30" fillId="2" borderId="0" xfId="0" applyNumberFormat="1" applyFont="1" applyFill="1"/>
    <xf numFmtId="0" fontId="5" fillId="2" borderId="0" xfId="0" applyFont="1" applyFill="1" applyAlignment="1">
      <alignment horizontal="right"/>
    </xf>
    <xf numFmtId="0" fontId="30" fillId="2" borderId="0" xfId="0" applyFont="1" applyFill="1" applyAlignment="1">
      <alignment horizontal="right"/>
    </xf>
    <xf numFmtId="3" fontId="15" fillId="2" borderId="0" xfId="0" applyNumberFormat="1" applyFont="1" applyFill="1" applyAlignment="1">
      <alignment horizontal="right"/>
    </xf>
    <xf numFmtId="164" fontId="30" fillId="3" borderId="10" xfId="0" applyNumberFormat="1" applyFont="1" applyFill="1" applyBorder="1" applyProtection="1">
      <protection locked="0"/>
    </xf>
    <xf numFmtId="164" fontId="30" fillId="3" borderId="0" xfId="0" applyNumberFormat="1" applyFont="1" applyFill="1" applyProtection="1">
      <protection locked="0"/>
    </xf>
    <xf numFmtId="164" fontId="30" fillId="3" borderId="11" xfId="0" applyNumberFormat="1" applyFont="1" applyFill="1" applyBorder="1" applyProtection="1">
      <protection locked="0"/>
    </xf>
    <xf numFmtId="164" fontId="5" fillId="3" borderId="7" xfId="0" applyNumberFormat="1" applyFont="1" applyFill="1" applyBorder="1" applyProtection="1">
      <protection locked="0"/>
    </xf>
    <xf numFmtId="164" fontId="5" fillId="3" borderId="8" xfId="0" applyNumberFormat="1" applyFont="1" applyFill="1" applyBorder="1" applyProtection="1">
      <protection locked="0"/>
    </xf>
    <xf numFmtId="164" fontId="5" fillId="3" borderId="9" xfId="0" applyNumberFormat="1" applyFont="1" applyFill="1" applyBorder="1" applyProtection="1">
      <protection locked="0"/>
    </xf>
    <xf numFmtId="164" fontId="5" fillId="3" borderId="12" xfId="0" applyNumberFormat="1" applyFont="1" applyFill="1" applyBorder="1" applyProtection="1">
      <protection locked="0"/>
    </xf>
    <xf numFmtId="164" fontId="5" fillId="3" borderId="10" xfId="0" applyNumberFormat="1" applyFont="1" applyFill="1" applyBorder="1" applyProtection="1">
      <protection locked="0"/>
    </xf>
    <xf numFmtId="164" fontId="5" fillId="3" borderId="0" xfId="0" applyNumberFormat="1" applyFont="1" applyFill="1" applyProtection="1">
      <protection locked="0"/>
    </xf>
    <xf numFmtId="164" fontId="5" fillId="3" borderId="11" xfId="0" applyNumberFormat="1" applyFont="1" applyFill="1" applyBorder="1" applyProtection="1">
      <protection locked="0"/>
    </xf>
    <xf numFmtId="164" fontId="5" fillId="3" borderId="1" xfId="0" applyNumberFormat="1" applyFont="1" applyFill="1" applyBorder="1" applyProtection="1">
      <protection locked="0"/>
    </xf>
    <xf numFmtId="0" fontId="30" fillId="3" borderId="2" xfId="0" applyFont="1" applyFill="1" applyBorder="1" applyProtection="1">
      <protection locked="0"/>
    </xf>
    <xf numFmtId="0" fontId="30" fillId="3" borderId="3" xfId="0" applyFont="1" applyFill="1" applyBorder="1" applyProtection="1">
      <protection locked="0"/>
    </xf>
    <xf numFmtId="0" fontId="5" fillId="3" borderId="7" xfId="0" applyFont="1" applyFill="1" applyBorder="1" applyAlignment="1" applyProtection="1">
      <alignment vertical="top"/>
      <protection locked="0"/>
    </xf>
    <xf numFmtId="0" fontId="5" fillId="3" borderId="8" xfId="0" applyFont="1" applyFill="1" applyBorder="1" applyAlignment="1" applyProtection="1">
      <alignment vertical="top"/>
      <protection locked="0"/>
    </xf>
    <xf numFmtId="0" fontId="5" fillId="3" borderId="9" xfId="0" applyFont="1" applyFill="1" applyBorder="1" applyAlignment="1" applyProtection="1">
      <alignment vertical="top"/>
      <protection locked="0"/>
    </xf>
    <xf numFmtId="0" fontId="5" fillId="3" borderId="10" xfId="0" applyFont="1" applyFill="1" applyBorder="1" applyAlignment="1" applyProtection="1">
      <alignment vertical="top"/>
      <protection locked="0"/>
    </xf>
    <xf numFmtId="0" fontId="5" fillId="3" borderId="0" xfId="0" applyFont="1" applyFill="1" applyAlignment="1" applyProtection="1">
      <alignment vertical="top"/>
      <protection locked="0"/>
    </xf>
    <xf numFmtId="0" fontId="5" fillId="3" borderId="11" xfId="0" applyFont="1" applyFill="1" applyBorder="1" applyAlignment="1" applyProtection="1">
      <alignment vertical="top"/>
      <protection locked="0"/>
    </xf>
    <xf numFmtId="0" fontId="5" fillId="3" borderId="12" xfId="0" applyFont="1" applyFill="1" applyBorder="1" applyAlignment="1" applyProtection="1">
      <alignment vertical="top"/>
      <protection locked="0"/>
    </xf>
    <xf numFmtId="0" fontId="5" fillId="3" borderId="13" xfId="0" applyFont="1" applyFill="1" applyBorder="1" applyAlignment="1" applyProtection="1">
      <alignment vertical="top"/>
      <protection locked="0"/>
    </xf>
    <xf numFmtId="0" fontId="5" fillId="3" borderId="14" xfId="0" applyFont="1" applyFill="1" applyBorder="1" applyAlignment="1" applyProtection="1">
      <alignment vertical="top"/>
      <protection locked="0"/>
    </xf>
    <xf numFmtId="164" fontId="30" fillId="3" borderId="12" xfId="0" applyNumberFormat="1" applyFont="1" applyFill="1" applyBorder="1" applyProtection="1">
      <protection locked="0"/>
    </xf>
    <xf numFmtId="164" fontId="30" fillId="3" borderId="13" xfId="0" applyNumberFormat="1" applyFont="1" applyFill="1" applyBorder="1" applyProtection="1">
      <protection locked="0"/>
    </xf>
    <xf numFmtId="164" fontId="30" fillId="3" borderId="14" xfId="0" applyNumberFormat="1" applyFont="1" applyFill="1" applyBorder="1" applyProtection="1">
      <protection locked="0"/>
    </xf>
    <xf numFmtId="1" fontId="5" fillId="2" borderId="1" xfId="0" applyNumberFormat="1" applyFont="1" applyFill="1" applyBorder="1"/>
    <xf numFmtId="0" fontId="5" fillId="6" borderId="0" xfId="0" applyFont="1" applyFill="1" applyAlignment="1">
      <alignment vertical="top" wrapText="1"/>
    </xf>
    <xf numFmtId="0" fontId="0" fillId="6" borderId="0" xfId="0" applyFill="1" applyAlignment="1">
      <alignment vertical="top" wrapText="1"/>
    </xf>
    <xf numFmtId="0" fontId="5" fillId="0" borderId="0" xfId="0" applyFont="1" applyAlignment="1">
      <alignment vertical="top" wrapText="1"/>
    </xf>
    <xf numFmtId="0" fontId="5" fillId="6" borderId="0" xfId="0" applyFont="1" applyFill="1" applyAlignment="1" applyProtection="1">
      <alignment vertical="top" wrapText="1"/>
      <protection locked="0"/>
    </xf>
    <xf numFmtId="0" fontId="34" fillId="2" borderId="0" xfId="0" applyFont="1" applyFill="1" applyAlignment="1">
      <alignment vertical="top" wrapText="1"/>
    </xf>
    <xf numFmtId="0" fontId="34" fillId="2" borderId="0" xfId="0" applyFont="1" applyFill="1" applyAlignment="1">
      <alignment wrapText="1"/>
    </xf>
  </cellXfs>
  <cellStyles count="9">
    <cellStyle name="Euro" xfId="8" xr:uid="{AC6E2BF0-2288-4A52-9821-760A10D743C3}"/>
    <cellStyle name="Hyperlink" xfId="2" builtinId="8"/>
    <cellStyle name="Hyperlink 2" xfId="4" xr:uid="{86768675-0FC4-472F-A2F5-FCAD9D1AC85A}"/>
    <cellStyle name="Komma 2" xfId="7" xr:uid="{61F24806-D7BF-44F3-B5E7-3CDFF75C3AD5}"/>
    <cellStyle name="Procent" xfId="1" builtinId="5"/>
    <cellStyle name="Procent 2" xfId="6" xr:uid="{33AC6522-E583-4496-98A6-431F3C3F8D87}"/>
    <cellStyle name="Standaard" xfId="0" builtinId="0"/>
    <cellStyle name="Standaard 2" xfId="3" xr:uid="{7EC8672C-7FEB-47D2-B801-F573D2FF3DCE}"/>
    <cellStyle name="Standaard_TEMPLATE FEM BEGROTING DEMO" xfId="5" xr:uid="{4C803425-269F-4E02-B677-665491C8C410}"/>
  </cellStyles>
  <dxfs count="208">
    <dxf>
      <border>
        <bottom style="thin">
          <color auto="1"/>
        </bottom>
        <vertical/>
        <horizontal/>
      </border>
    </dxf>
    <dxf>
      <border>
        <right style="thin">
          <color auto="1"/>
        </right>
        <vertical/>
        <horizontal/>
      </border>
    </dxf>
    <dxf>
      <fill>
        <patternFill>
          <bgColor theme="0"/>
        </patternFill>
      </fill>
    </dxf>
    <dxf>
      <border>
        <right style="thin">
          <color auto="1"/>
        </right>
        <vertical/>
        <horizontal/>
      </border>
    </dxf>
    <dxf>
      <fill>
        <patternFill>
          <bgColor theme="0"/>
        </patternFill>
      </fill>
    </dxf>
    <dxf>
      <fill>
        <patternFill>
          <bgColor theme="0"/>
        </patternFill>
      </fill>
    </dxf>
    <dxf>
      <border>
        <right style="thin">
          <color auto="1"/>
        </right>
        <vertical/>
        <horizontal/>
      </border>
    </dxf>
    <dxf>
      <border>
        <top style="thin">
          <color auto="1"/>
        </top>
        <vertical/>
        <horizontal/>
      </border>
    </dxf>
    <dxf>
      <fill>
        <patternFill>
          <bgColor theme="0"/>
        </patternFill>
      </fill>
    </dxf>
    <dxf>
      <border>
        <bottom style="thin">
          <color auto="1"/>
        </bottom>
        <vertical/>
        <horizontal/>
      </border>
    </dxf>
    <dxf>
      <border>
        <right style="thin">
          <color auto="1"/>
        </right>
        <vertical/>
        <horizontal/>
      </border>
    </dxf>
    <dxf>
      <fill>
        <patternFill>
          <bgColor theme="0"/>
        </patternFill>
      </fill>
    </dxf>
    <dxf>
      <border>
        <right style="thin">
          <color auto="1"/>
        </right>
        <vertical/>
        <horizontal/>
      </border>
    </dxf>
    <dxf>
      <border>
        <right style="thin">
          <color auto="1"/>
        </right>
        <vertical/>
        <horizontal/>
      </border>
    </dxf>
    <dxf>
      <fill>
        <patternFill>
          <bgColor theme="0"/>
        </patternFill>
      </fill>
    </dxf>
    <dxf>
      <fill>
        <patternFill>
          <bgColor theme="0"/>
        </patternFill>
      </fill>
    </dxf>
    <dxf>
      <border>
        <top style="thin">
          <color auto="1"/>
        </top>
        <vertical/>
        <horizontal/>
      </border>
    </dxf>
    <dxf>
      <border>
        <right style="thin">
          <color auto="1"/>
        </right>
        <vertical/>
        <horizontal/>
      </border>
    </dxf>
    <dxf>
      <border>
        <bottom style="thin">
          <color auto="1"/>
        </bottom>
        <vertical/>
        <horizontal/>
      </border>
    </dxf>
    <dxf>
      <fill>
        <patternFill>
          <bgColor theme="0"/>
        </patternFill>
      </fill>
    </dxf>
    <dxf>
      <border>
        <right style="thin">
          <color auto="1"/>
        </right>
        <vertical/>
        <horizontal/>
      </border>
    </dxf>
    <dxf>
      <border>
        <left/>
        <right style="thin">
          <color auto="1"/>
        </right>
        <top/>
        <bottom/>
        <vertical/>
        <horizontal/>
      </border>
    </dxf>
    <dxf>
      <fill>
        <patternFill>
          <bgColor theme="0"/>
        </patternFill>
      </fill>
    </dxf>
    <dxf>
      <fill>
        <patternFill>
          <bgColor theme="0"/>
        </patternFill>
      </fill>
    </dxf>
    <dxf>
      <border>
        <top style="thin">
          <color auto="1"/>
        </top>
        <vertical/>
        <horizontal/>
      </border>
    </dxf>
    <dxf>
      <border>
        <right style="thin">
          <color auto="1"/>
        </right>
        <vertical/>
        <horizontal/>
      </border>
    </dxf>
    <dxf>
      <fill>
        <patternFill>
          <bgColor theme="0"/>
        </patternFill>
      </fill>
    </dxf>
    <dxf>
      <border>
        <bottom style="thin">
          <color auto="1"/>
        </bottom>
        <vertical/>
        <horizontal/>
      </border>
    </dxf>
    <dxf>
      <border>
        <right style="thin">
          <color auto="1"/>
        </right>
        <vertical/>
        <horizontal/>
      </border>
    </dxf>
    <dxf>
      <fill>
        <patternFill>
          <bgColor theme="0"/>
        </patternFill>
      </fill>
    </dxf>
    <dxf>
      <border>
        <right style="thin">
          <color auto="1"/>
        </right>
        <vertical/>
        <horizontal/>
      </border>
    </dxf>
    <dxf>
      <border>
        <right style="thin">
          <color auto="1"/>
        </right>
        <vertical/>
        <horizontal/>
      </border>
    </dxf>
    <dxf>
      <fill>
        <patternFill>
          <bgColor theme="0"/>
        </patternFill>
      </fill>
    </dxf>
    <dxf>
      <fill>
        <patternFill>
          <bgColor theme="0"/>
        </patternFill>
      </fill>
    </dxf>
    <dxf>
      <border>
        <right style="thin">
          <color auto="1"/>
        </right>
        <vertical/>
        <horizontal/>
      </border>
    </dxf>
    <dxf>
      <border>
        <top style="thin">
          <color auto="1"/>
        </top>
        <vertical/>
        <horizontal/>
      </border>
    </dxf>
    <dxf>
      <fill>
        <patternFill>
          <bgColor theme="0"/>
        </patternFill>
      </fill>
    </dxf>
    <dxf>
      <border>
        <bottom style="thin">
          <color auto="1"/>
        </bottom>
        <vertical/>
        <horizontal/>
      </border>
    </dxf>
    <dxf>
      <border>
        <right style="thin">
          <color auto="1"/>
        </right>
        <vertical/>
        <horizontal/>
      </border>
    </dxf>
    <dxf>
      <fill>
        <patternFill>
          <bgColor theme="0"/>
        </patternFill>
      </fill>
    </dxf>
    <dxf>
      <border>
        <right style="thin">
          <color auto="1"/>
        </right>
        <vertical/>
        <horizontal/>
      </border>
    </dxf>
    <dxf>
      <fill>
        <patternFill>
          <bgColor theme="0"/>
        </patternFill>
      </fill>
    </dxf>
    <dxf>
      <border>
        <top style="thin">
          <color auto="1"/>
        </top>
        <vertical/>
        <horizontal/>
      </border>
    </dxf>
    <dxf>
      <border>
        <right style="thin">
          <color auto="1"/>
        </right>
        <vertical/>
        <horizontal/>
      </border>
    </dxf>
    <dxf>
      <fill>
        <patternFill>
          <bgColor theme="0"/>
        </patternFill>
      </fill>
    </dxf>
    <dxf>
      <border>
        <bottom style="thin">
          <color auto="1"/>
        </bottom>
        <vertical/>
        <horizontal/>
      </border>
    </dxf>
    <dxf>
      <border>
        <right style="thin">
          <color auto="1"/>
        </right>
        <vertical/>
        <horizontal/>
      </border>
    </dxf>
    <dxf>
      <border>
        <right style="thin">
          <color auto="1"/>
        </right>
        <vertical/>
        <horizontal/>
      </border>
    </dxf>
    <dxf>
      <fill>
        <patternFill>
          <bgColor theme="0"/>
        </patternFill>
      </fill>
    </dxf>
    <dxf>
      <border>
        <right style="thin">
          <color auto="1"/>
        </right>
        <vertical/>
        <horizontal/>
      </border>
    </dxf>
    <dxf>
      <fill>
        <patternFill>
          <bgColor theme="0"/>
        </patternFill>
      </fill>
      <border>
        <top/>
        <vertical/>
        <horizontal/>
      </border>
    </dxf>
    <dxf>
      <border>
        <right style="thin">
          <color auto="1"/>
        </right>
        <vertical/>
        <horizontal/>
      </border>
    </dxf>
    <dxf>
      <border>
        <top style="thin">
          <color auto="1"/>
        </top>
        <vertical/>
        <horizontal/>
      </border>
    </dxf>
    <dxf>
      <fill>
        <patternFill>
          <bgColor theme="0"/>
        </patternFill>
      </fill>
    </dxf>
    <dxf>
      <border>
        <bottom style="thin">
          <color auto="1"/>
        </bottom>
        <vertical/>
        <horizontal/>
      </border>
    </dxf>
    <dxf>
      <border>
        <right style="thin">
          <color auto="1"/>
        </right>
        <vertical/>
        <horizontal/>
      </border>
    </dxf>
    <dxf>
      <fill>
        <patternFill>
          <bgColor theme="0"/>
        </patternFill>
      </fill>
    </dxf>
    <dxf>
      <border>
        <right style="thin">
          <color auto="1"/>
        </right>
        <vertical/>
        <horizontal/>
      </border>
    </dxf>
    <dxf>
      <fill>
        <patternFill>
          <bgColor theme="0"/>
        </patternFill>
      </fill>
    </dxf>
    <dxf>
      <border>
        <right style="thin">
          <color auto="1"/>
        </right>
        <vertical/>
        <horizontal/>
      </border>
    </dxf>
    <dxf>
      <fill>
        <patternFill>
          <bgColor theme="0"/>
        </patternFill>
      </fill>
    </dxf>
    <dxf>
      <border>
        <top style="thin">
          <color auto="1"/>
        </top>
        <vertical/>
        <horizontal/>
      </border>
    </dxf>
    <dxf>
      <border>
        <right style="thin">
          <color auto="1"/>
        </right>
        <vertical/>
        <horizontal/>
      </border>
    </dxf>
    <dxf>
      <border>
        <bottom style="thin">
          <color auto="1"/>
        </bottom>
        <vertical/>
        <horizontal/>
      </border>
    </dxf>
    <dxf>
      <fill>
        <patternFill>
          <bgColor theme="0"/>
        </patternFill>
      </fill>
    </dxf>
    <dxf>
      <border>
        <right style="thin">
          <color auto="1"/>
        </right>
        <vertical/>
        <horizontal/>
      </border>
    </dxf>
    <dxf>
      <fill>
        <patternFill>
          <bgColor theme="0"/>
        </patternFill>
      </fill>
    </dxf>
    <dxf>
      <border>
        <right style="thin">
          <color auto="1"/>
        </right>
        <vertical/>
        <horizontal/>
      </border>
    </dxf>
    <dxf>
      <fill>
        <patternFill>
          <bgColor theme="0"/>
        </patternFill>
      </fill>
    </dxf>
    <dxf>
      <border>
        <left/>
        <top style="thin">
          <color auto="1"/>
        </top>
        <vertical/>
        <horizontal/>
      </border>
    </dxf>
    <dxf>
      <border>
        <right style="thin">
          <color auto="1"/>
        </right>
        <vertical/>
        <horizontal/>
      </border>
    </dxf>
    <dxf>
      <fill>
        <patternFill>
          <bgColor theme="0"/>
        </patternFill>
      </fill>
    </dxf>
    <dxf>
      <fill>
        <patternFill>
          <bgColor theme="0"/>
        </patternFill>
      </fill>
    </dxf>
    <dxf>
      <border>
        <bottom style="thin">
          <color auto="1"/>
        </bottom>
        <vertical/>
        <horizontal/>
      </border>
    </dxf>
    <dxf>
      <border>
        <right style="thin">
          <color auto="1"/>
        </right>
        <vertical/>
        <horizontal/>
      </border>
    </dxf>
    <dxf>
      <fill>
        <patternFill>
          <bgColor theme="0"/>
        </patternFill>
      </fill>
    </dxf>
    <dxf>
      <border>
        <right style="thin">
          <color auto="1"/>
        </right>
        <vertical/>
        <horizontal/>
      </border>
    </dxf>
    <dxf>
      <border>
        <right style="thin">
          <color auto="1"/>
        </right>
        <vertical/>
        <horizontal/>
      </border>
    </dxf>
    <dxf>
      <fill>
        <patternFill>
          <bgColor theme="0"/>
        </patternFill>
      </fill>
    </dxf>
    <dxf>
      <border>
        <top style="thin">
          <color auto="1"/>
        </top>
        <vertical/>
        <horizontal/>
      </border>
    </dxf>
    <dxf>
      <border>
        <bottom style="thin">
          <color auto="1"/>
        </bottom>
        <vertical/>
        <horizontal/>
      </border>
    </dxf>
    <dxf>
      <fill>
        <patternFill>
          <bgColor theme="0"/>
        </patternFill>
      </fill>
    </dxf>
    <dxf>
      <border>
        <right style="thin">
          <color auto="1"/>
        </right>
        <vertical/>
        <horizontal/>
      </border>
    </dxf>
    <dxf>
      <fill>
        <patternFill>
          <bgColor theme="0"/>
        </patternFill>
      </fill>
    </dxf>
    <dxf>
      <border>
        <right style="thin">
          <color auto="1"/>
        </right>
        <vertical/>
        <horizontal/>
      </border>
    </dxf>
    <dxf>
      <fill>
        <patternFill>
          <bgColor theme="0"/>
        </patternFill>
      </fill>
    </dxf>
    <dxf>
      <border>
        <right style="thin">
          <color auto="1"/>
        </right>
        <vertical/>
        <horizontal/>
      </border>
    </dxf>
    <dxf>
      <border>
        <right style="thin">
          <color auto="1"/>
        </right>
        <vertical/>
        <horizontal/>
      </border>
    </dxf>
    <dxf>
      <border>
        <top style="thin">
          <color auto="1"/>
        </top>
        <vertical/>
        <horizontal/>
      </border>
    </dxf>
    <dxf>
      <fill>
        <patternFill>
          <bgColor theme="0"/>
        </patternFill>
      </fill>
    </dxf>
    <dxf>
      <fill>
        <patternFill>
          <bgColor theme="0"/>
        </patternFill>
      </fill>
    </dxf>
    <dxf>
      <border>
        <bottom style="thin">
          <color auto="1"/>
        </bottom>
        <vertical/>
        <horizontal/>
      </border>
    </dxf>
    <dxf>
      <border>
        <right style="thin">
          <color auto="1"/>
        </right>
        <vertical/>
        <horizontal/>
      </border>
    </dxf>
    <dxf>
      <border>
        <right style="thin">
          <color auto="1"/>
        </right>
        <vertical/>
        <horizontal/>
      </border>
    </dxf>
    <dxf>
      <fill>
        <patternFill>
          <bgColor theme="0"/>
        </patternFill>
      </fill>
    </dxf>
    <dxf>
      <fill>
        <patternFill>
          <bgColor theme="0"/>
        </patternFill>
      </fill>
    </dxf>
    <dxf>
      <border>
        <top style="thin">
          <color auto="1"/>
        </top>
        <vertical/>
        <horizontal/>
      </border>
    </dxf>
    <dxf>
      <border>
        <right style="thin">
          <color auto="1"/>
        </right>
        <vertical/>
        <horizontal/>
      </border>
    </dxf>
    <dxf>
      <border>
        <right style="thin">
          <color auto="1"/>
        </right>
        <vertical/>
        <horizontal/>
      </border>
    </dxf>
    <dxf>
      <fill>
        <patternFill>
          <bgColor theme="0"/>
        </patternFill>
      </fill>
    </dxf>
    <dxf>
      <border>
        <bottom style="thin">
          <color auto="1"/>
        </bottom>
        <vertical/>
        <horizontal/>
      </border>
    </dxf>
    <dxf>
      <fill>
        <patternFill>
          <bgColor theme="0"/>
        </patternFill>
      </fill>
    </dxf>
    <dxf>
      <border>
        <right style="thin">
          <color auto="1"/>
        </right>
        <vertical/>
        <horizontal/>
      </border>
    </dxf>
    <dxf>
      <fill>
        <patternFill>
          <bgColor theme="0"/>
        </patternFill>
      </fill>
    </dxf>
    <dxf>
      <border>
        <right style="thin">
          <color auto="1"/>
        </right>
        <vertical/>
        <horizontal/>
      </border>
    </dxf>
    <dxf>
      <border>
        <right style="thin">
          <color auto="1"/>
        </right>
        <vertical/>
        <horizontal/>
      </border>
    </dxf>
    <dxf>
      <fill>
        <patternFill>
          <bgColor theme="0"/>
        </patternFill>
      </fill>
    </dxf>
    <dxf>
      <border>
        <right/>
        <top style="thin">
          <color auto="1"/>
        </top>
        <vertical/>
        <horizontal/>
      </border>
    </dxf>
    <dxf>
      <border>
        <right style="thin">
          <color auto="1"/>
        </right>
        <vertical/>
        <horizontal/>
      </border>
    </dxf>
    <dxf>
      <border>
        <bottom style="thin">
          <color auto="1"/>
        </bottom>
        <vertical/>
        <horizontal/>
      </border>
    </dxf>
    <dxf>
      <fill>
        <patternFill>
          <bgColor theme="0"/>
        </patternFill>
      </fill>
    </dxf>
    <dxf>
      <border>
        <right style="thin">
          <color auto="1"/>
        </right>
        <vertical/>
        <horizontal/>
      </border>
    </dxf>
    <dxf>
      <fill>
        <patternFill>
          <bgColor theme="0"/>
        </patternFill>
      </fill>
    </dxf>
    <dxf>
      <fill>
        <patternFill>
          <bgColor theme="0"/>
        </patternFill>
      </fill>
    </dxf>
    <dxf>
      <border>
        <top style="thin">
          <color auto="1"/>
        </top>
        <vertical/>
        <horizontal/>
      </border>
    </dxf>
    <dxf>
      <border>
        <right style="thin">
          <color auto="1"/>
        </right>
        <vertical/>
        <horizontal/>
      </border>
    </dxf>
    <dxf>
      <border>
        <bottom style="thin">
          <color auto="1"/>
        </bottom>
        <vertical/>
        <horizontal/>
      </border>
    </dxf>
    <dxf>
      <fill>
        <patternFill>
          <bgColor theme="0"/>
        </patternFill>
      </fill>
    </dxf>
    <dxf>
      <border>
        <right style="thin">
          <color auto="1"/>
        </right>
        <vertical/>
        <horizontal/>
      </border>
    </dxf>
    <dxf>
      <fill>
        <patternFill>
          <bgColor theme="0"/>
        </patternFill>
      </fill>
    </dxf>
    <dxf>
      <fill>
        <patternFill>
          <bgColor theme="0"/>
        </patternFill>
      </fill>
      <border>
        <right style="thin">
          <color auto="1"/>
        </right>
      </border>
    </dxf>
    <dxf>
      <border>
        <right style="thin">
          <color auto="1"/>
        </right>
        <vertical/>
        <horizontal/>
      </border>
    </dxf>
    <dxf>
      <border>
        <top style="thin">
          <color auto="1"/>
        </top>
        <vertical/>
        <horizontal/>
      </border>
    </dxf>
    <dxf>
      <fill>
        <patternFill>
          <bgColor theme="0"/>
        </patternFill>
      </fill>
    </dxf>
    <dxf>
      <fill>
        <patternFill>
          <bgColor theme="0"/>
        </patternFill>
      </fill>
    </dxf>
    <dxf>
      <border>
        <bottom style="thin">
          <color auto="1"/>
        </bottom>
        <vertical/>
        <horizontal/>
      </border>
    </dxf>
    <dxf>
      <border>
        <right style="thin">
          <color auto="1"/>
        </right>
        <vertical/>
        <horizontal/>
      </border>
    </dxf>
    <dxf>
      <fill>
        <patternFill>
          <bgColor theme="0"/>
        </patternFill>
      </fill>
    </dxf>
    <dxf>
      <border>
        <right style="thin">
          <color auto="1"/>
        </right>
        <vertical/>
        <horizontal/>
      </border>
    </dxf>
    <dxf>
      <fill>
        <patternFill>
          <bgColor theme="0"/>
        </patternFill>
      </fill>
    </dxf>
    <dxf>
      <border>
        <right style="thin">
          <color auto="1"/>
        </right>
        <vertical/>
        <horizontal/>
      </border>
    </dxf>
    <dxf>
      <border>
        <top style="thin">
          <color auto="1"/>
        </top>
        <vertical/>
        <horizontal/>
      </border>
    </dxf>
    <dxf>
      <border>
        <bottom style="thin">
          <color auto="1"/>
        </bottom>
        <vertical/>
        <horizontal/>
      </border>
    </dxf>
    <dxf>
      <fill>
        <patternFill>
          <bgColor theme="0"/>
        </patternFill>
      </fill>
    </dxf>
    <dxf>
      <border>
        <right style="thin">
          <color auto="1"/>
        </right>
        <vertical/>
        <horizontal/>
      </border>
    </dxf>
    <dxf>
      <border>
        <top style="thin">
          <color auto="1"/>
        </top>
        <vertical/>
        <horizontal/>
      </border>
    </dxf>
    <dxf>
      <border>
        <right style="thin">
          <color auto="1"/>
        </right>
        <vertical/>
        <horizontal/>
      </border>
    </dxf>
    <dxf>
      <border>
        <right style="thin">
          <color auto="1"/>
        </right>
        <vertical/>
        <horizontal/>
      </border>
    </dxf>
    <dxf>
      <fill>
        <patternFill>
          <bgColor rgb="FFB7DEE8"/>
        </patternFill>
      </fill>
    </dxf>
    <dxf>
      <fill>
        <patternFill>
          <bgColor rgb="FFB7DEE8"/>
        </patternFill>
      </fill>
    </dxf>
    <dxf>
      <fill>
        <patternFill>
          <bgColor rgb="FFB7DEE8"/>
        </patternFill>
      </fill>
    </dxf>
    <dxf>
      <border>
        <left style="thin">
          <color indexed="64"/>
        </left>
        <right style="thin">
          <color indexed="64"/>
        </right>
        <top style="thin">
          <color indexed="64"/>
        </top>
      </border>
    </dxf>
    <dxf>
      <fill>
        <patternFill>
          <bgColor rgb="FFB7DEE8"/>
        </patternFill>
      </fill>
    </dxf>
    <dxf>
      <border>
        <left style="thin">
          <color indexed="64"/>
        </left>
        <right style="thin">
          <color indexed="64"/>
        </right>
        <top style="thin">
          <color indexed="64"/>
        </top>
      </border>
    </dxf>
    <dxf>
      <fill>
        <patternFill>
          <bgColor rgb="FFB7DEE8"/>
        </patternFill>
      </fill>
    </dxf>
    <dxf>
      <border>
        <left style="thin">
          <color indexed="64"/>
        </left>
        <right style="thin">
          <color indexed="64"/>
        </right>
        <top/>
        <bottom style="thin">
          <color indexed="64"/>
        </bottom>
      </border>
    </dxf>
    <dxf>
      <border>
        <left style="thin">
          <color indexed="64"/>
        </left>
        <right style="thin">
          <color indexed="64"/>
        </right>
        <top/>
        <bottom style="thin">
          <color indexed="64"/>
        </bottom>
      </border>
    </dxf>
    <dxf>
      <fill>
        <patternFill>
          <bgColor rgb="FFB7DEE8"/>
        </patternFill>
      </fill>
    </dxf>
    <dxf>
      <fill>
        <patternFill patternType="solid">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ill>
        <patternFill>
          <bgColor rgb="FFB7DEE8"/>
        </patternFill>
      </fill>
    </dxf>
    <dxf>
      <font>
        <b/>
        <i val="0"/>
        <color rgb="FFFF0000"/>
      </font>
    </dxf>
    <dxf>
      <fill>
        <patternFill>
          <bgColor rgb="FFFF0000"/>
        </patternFill>
      </fill>
    </dxf>
  </dxfs>
  <tableStyles count="0" defaultTableStyle="TableStyleMedium2" defaultPivotStyle="PivotStyleLight16"/>
  <colors>
    <mruColors>
      <color rgb="FFB7DEE8"/>
      <color rgb="FFB4C6E7"/>
      <color rgb="FFBDD7EE"/>
      <color rgb="FFFFFFFF"/>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List" dx="22" fmlaLink="Hulpblad_overig!$B$15" fmlaRange="Hulpblad_overig!$A$12:$A$14" sel="1" val="0"/>
</file>

<file path=xl/ctrlProps/ctrlProp2.xml><?xml version="1.0" encoding="utf-8"?>
<formControlPr xmlns="http://schemas.microsoft.com/office/spreadsheetml/2009/9/main" objectType="List" dx="22" fmlaLink="Hulpblad_overig!$B$8" fmlaRange="Hulpblad_overig!$A$7:$A$8" sel="1" val="0"/>
</file>

<file path=xl/ctrlProps/ctrlProp3.xml><?xml version="1.0" encoding="utf-8"?>
<formControlPr xmlns="http://schemas.microsoft.com/office/spreadsheetml/2009/9/main" objectType="List" dx="22" fmlaLink="Hulpblad_overig!$A$30" fmlaRange="Hulpblad_overig!$A$28:$A$29"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514350</xdr:colOff>
      <xdr:row>0</xdr:row>
      <xdr:rowOff>0</xdr:rowOff>
    </xdr:from>
    <xdr:to>
      <xdr:col>13</xdr:col>
      <xdr:colOff>428625</xdr:colOff>
      <xdr:row>6</xdr:row>
      <xdr:rowOff>104775</xdr:rowOff>
    </xdr:to>
    <xdr:pic>
      <xdr:nvPicPr>
        <xdr:cNvPr id="2" name="Afbeelding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7950" y="0"/>
          <a:ext cx="540067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514350</xdr:colOff>
      <xdr:row>0</xdr:row>
      <xdr:rowOff>0</xdr:rowOff>
    </xdr:from>
    <xdr:to>
      <xdr:col>13</xdr:col>
      <xdr:colOff>428625</xdr:colOff>
      <xdr:row>6</xdr:row>
      <xdr:rowOff>104775</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7950" y="0"/>
          <a:ext cx="540067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26670</xdr:colOff>
      <xdr:row>2</xdr:row>
      <xdr:rowOff>118111</xdr:rowOff>
    </xdr:from>
    <xdr:ext cx="7410450" cy="2371724"/>
    <xdr:sp macro="" textlink="">
      <xdr:nvSpPr>
        <xdr:cNvPr id="2" name="Tekstvak 1">
          <a:extLst>
            <a:ext uri="{FF2B5EF4-FFF2-40B4-BE49-F238E27FC236}">
              <a16:creationId xmlns:a16="http://schemas.microsoft.com/office/drawing/2014/main" id="{00000000-0008-0000-0200-000002000000}"/>
            </a:ext>
          </a:extLst>
        </xdr:cNvPr>
        <xdr:cNvSpPr txBox="1">
          <a:spLocks noChangeAspect="1"/>
        </xdr:cNvSpPr>
      </xdr:nvSpPr>
      <xdr:spPr>
        <a:xfrm>
          <a:off x="361950" y="643891"/>
          <a:ext cx="7410450" cy="2371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r>
            <a:rPr lang="nl-NL" sz="950" b="1">
              <a:solidFill>
                <a:schemeClr val="dk1"/>
              </a:solidFill>
              <a:effectLst/>
              <a:latin typeface="Verdana" panose="020B0604030504040204" pitchFamily="34" charset="0"/>
              <a:ea typeface="Verdana" panose="020B0604030504040204" pitchFamily="34" charset="0"/>
              <a:cs typeface="Verdana" panose="020B0604030504040204" pitchFamily="34" charset="0"/>
            </a:rPr>
            <a:t>Toelichting </a:t>
          </a:r>
          <a:endPar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rPr>
            <a:t>Bij de berekening van de voorschotten wordt het investeringsbedrag per mijlpaal gebruikt.</a:t>
          </a:r>
        </a:p>
        <a:p>
          <a:r>
            <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rPr>
            <a:t>Vul de investeringskosten in per mijlpaal, conform het mijlpalenoverzicht in het projectplan:</a:t>
          </a:r>
        </a:p>
        <a:p>
          <a:r>
            <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rPr>
            <a:t>- Vul eerst het investeringsbedrag in dat per mijlpaal benodigd is;</a:t>
          </a:r>
        </a:p>
        <a:p>
          <a:r>
            <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rPr>
            <a:t>-</a:t>
          </a:r>
          <a:r>
            <a:rPr lang="nl-NL" sz="95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Het totaal aan investeringskosten moet gelijk zijn aan het totaal aan investeringskosten dat u op het tabblad 'investeringsbegroting' heeft opgegeven.</a:t>
          </a:r>
          <a:endPar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rPr>
            <a:t>- Vul vervolgens onderaan de tabel de einddatum in waarop elke mijlpaal behaald moet zijn. Doe dit voor de gehele looptijd van het project en de einddatum van de laatste mijlpaalperiode moet overeenkomen</a:t>
          </a:r>
          <a:r>
            <a:rPr lang="nl-NL" sz="95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met de einddatum van de realisatie van het project</a:t>
          </a:r>
          <a:r>
            <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rPr>
            <a:t>- De startdatum van de mijlpalen</a:t>
          </a:r>
          <a:r>
            <a:rPr lang="nl-NL" sz="95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verschijnt automatisch zodat mijlpaalperiodes niet kunnen overlappen.</a:t>
          </a:r>
        </a:p>
        <a:p>
          <a:pPr marL="0" marR="0" indent="0" defTabSz="914400" eaLnBrk="1" fontAlgn="auto" latinLnBrk="0" hangingPunct="1">
            <a:lnSpc>
              <a:spcPct val="100000"/>
            </a:lnSpc>
            <a:spcBef>
              <a:spcPts val="0"/>
            </a:spcBef>
            <a:spcAft>
              <a:spcPts val="0"/>
            </a:spcAft>
            <a:buClrTx/>
            <a:buSzTx/>
            <a:buFontTx/>
            <a:buNone/>
            <a:tabLst/>
            <a:defRPr/>
          </a:pPr>
          <a:r>
            <a:rPr lang="nl-NL" sz="950" i="0">
              <a:solidFill>
                <a:schemeClr val="dk1"/>
              </a:solidFill>
              <a:effectLst/>
              <a:latin typeface="Verdana" panose="020B0604030504040204" pitchFamily="34" charset="0"/>
              <a:ea typeface="+mn-ea"/>
              <a:cs typeface="+mn-cs"/>
            </a:rPr>
            <a:t>Het aantal mijlpalen staat niet vast en hoeft niet gelijk te lopen aan de kwartalen van een jaar. </a:t>
          </a:r>
        </a:p>
        <a:p>
          <a:pPr marL="0" marR="0" indent="0" defTabSz="914400" eaLnBrk="1" fontAlgn="auto" latinLnBrk="0" hangingPunct="1">
            <a:lnSpc>
              <a:spcPct val="100000"/>
            </a:lnSpc>
            <a:spcBef>
              <a:spcPts val="0"/>
            </a:spcBef>
            <a:spcAft>
              <a:spcPts val="0"/>
            </a:spcAft>
            <a:buClrTx/>
            <a:buSzTx/>
            <a:buFontTx/>
            <a:buNone/>
            <a:tabLst/>
            <a:defRPr/>
          </a:pPr>
          <a:endParaRPr lang="nl-NL" sz="950" baseline="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rPr>
            <a:t>Ter indicatie wordt het totale voorschot per mijlpaalperiode aangegeven, hierbij wordt gebruik gemaakt van de door u ingevulde investeringskosten en de gevraagde subsidie (tabblad 'investeringsbegroting'). Bij verlening wordt het totale voorschotbedrag verdeeld over de betaalmomenten per kwartaal, binnen de betreffende mijlpaalperiode.</a:t>
          </a:r>
        </a:p>
        <a:p>
          <a:endParaRPr lang="nl-NL" sz="95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1</xdr:row>
      <xdr:rowOff>0</xdr:rowOff>
    </xdr:to>
    <xdr:pic>
      <xdr:nvPicPr>
        <xdr:cNvPr id="4" name="Afbeelding 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8280"/>
        <a:stretch>
          <a:fillRect/>
        </a:stretch>
      </xdr:blipFill>
      <xdr:spPr bwMode="auto">
        <a:xfrm>
          <a:off x="0" y="0"/>
          <a:ext cx="8258175"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14</xdr:row>
          <xdr:rowOff>28575</xdr:rowOff>
        </xdr:from>
        <xdr:to>
          <xdr:col>5</xdr:col>
          <xdr:colOff>19050</xdr:colOff>
          <xdr:row>16</xdr:row>
          <xdr:rowOff>142875</xdr:rowOff>
        </xdr:to>
        <xdr:sp macro="" textlink="">
          <xdr:nvSpPr>
            <xdr:cNvPr id="2049" name="List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1352550</xdr:colOff>
          <xdr:row>8</xdr:row>
          <xdr:rowOff>28575</xdr:rowOff>
        </xdr:from>
        <xdr:to>
          <xdr:col>5</xdr:col>
          <xdr:colOff>0</xdr:colOff>
          <xdr:row>8</xdr:row>
          <xdr:rowOff>323850</xdr:rowOff>
        </xdr:to>
        <xdr:sp macro="" textlink="">
          <xdr:nvSpPr>
            <xdr:cNvPr id="2052" name="List Box 4" hidden="1">
              <a:extLst>
                <a:ext uri="{63B3BB69-23CF-44E3-9099-C40C66FF867C}">
                  <a14:compatExt spid="_x0000_s2052"/>
                </a:ext>
                <a:ext uri="{FF2B5EF4-FFF2-40B4-BE49-F238E27FC236}">
                  <a16:creationId xmlns:a16="http://schemas.microsoft.com/office/drawing/2014/main" id="{00000000-0008-0000-04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19050</xdr:colOff>
          <xdr:row>30</xdr:row>
          <xdr:rowOff>152400</xdr:rowOff>
        </xdr:from>
        <xdr:to>
          <xdr:col>10</xdr:col>
          <xdr:colOff>9525</xdr:colOff>
          <xdr:row>32</xdr:row>
          <xdr:rowOff>123825</xdr:rowOff>
        </xdr:to>
        <xdr:sp macro="" textlink="">
          <xdr:nvSpPr>
            <xdr:cNvPr id="4097" name="List Box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122p0620.cicwp.nl\8142-Userdata_P$\Investeringsbegroting%20(1412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
      <sheetName val="Investeringsbegroting"/>
      <sheetName val="Mijlpalenbegroting"/>
    </sheetNames>
    <sheetDataSet>
      <sheetData sheetId="0"/>
      <sheetData sheetId="1">
        <row r="1">
          <cell r="D1" t="str">
            <v>Wordt door RVO.nl ingevuld</v>
          </cell>
        </row>
        <row r="3">
          <cell r="J3" t="str">
            <v>Groot bedrijf</v>
          </cell>
        </row>
        <row r="4">
          <cell r="J4" t="str">
            <v>Middelgroot bedrijf</v>
          </cell>
        </row>
        <row r="5">
          <cell r="J5" t="str">
            <v>Klein bedrijf</v>
          </cell>
        </row>
      </sheetData>
      <sheetData sheetId="2"/>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rvo.nl/subsidie-en-financieringswijzer/sde/aanvragen-sde/stappenplan-aanvragen-sde/bijlagen/haalbaarheidsstudie"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55079-E1A7-44C1-8823-30293440727A}">
  <sheetPr>
    <pageSetUpPr fitToPage="1"/>
  </sheetPr>
  <dimension ref="A1:IV99"/>
  <sheetViews>
    <sheetView showGridLines="0" tabSelected="1" zoomScaleNormal="100" zoomScaleSheetLayoutView="100" workbookViewId="0">
      <selection activeCell="B25" sqref="B25"/>
    </sheetView>
  </sheetViews>
  <sheetFormatPr defaultColWidth="9.140625" defaultRowHeight="12.75" x14ac:dyDescent="0.2"/>
  <cols>
    <col min="1" max="1" width="8.85546875" style="143" customWidth="1"/>
    <col min="2" max="2" width="7.5703125" style="143" customWidth="1"/>
    <col min="3" max="3" width="6.42578125" style="143" customWidth="1"/>
    <col min="4" max="16" width="9.140625" style="143"/>
    <col min="17" max="17" width="17.140625" style="143" customWidth="1"/>
    <col min="18" max="18" width="8.5703125" style="143" customWidth="1"/>
    <col min="19" max="23" width="9.140625" style="143"/>
    <col min="24" max="40" width="9.140625" style="144"/>
    <col min="41" max="16384" width="9.140625" style="143"/>
  </cols>
  <sheetData>
    <row r="1" spans="1:256" ht="23.25" x14ac:dyDescent="0.35">
      <c r="A1" s="138"/>
      <c r="B1" s="139"/>
      <c r="C1" s="138"/>
      <c r="D1" s="139"/>
      <c r="E1" s="140"/>
      <c r="F1" s="140"/>
      <c r="G1" s="140"/>
      <c r="H1" s="140"/>
      <c r="I1" s="141"/>
      <c r="J1" s="141"/>
      <c r="K1" s="141"/>
      <c r="L1" s="141"/>
      <c r="M1" s="141"/>
      <c r="N1" s="141"/>
      <c r="O1" s="141"/>
      <c r="P1" s="138"/>
      <c r="Q1" s="138"/>
      <c r="R1" s="142"/>
      <c r="S1" s="138"/>
    </row>
    <row r="2" spans="1:256" ht="23.25" x14ac:dyDescent="0.35">
      <c r="A2" s="139"/>
      <c r="B2" s="139"/>
      <c r="C2" s="138"/>
      <c r="D2" s="145"/>
      <c r="E2" s="141"/>
      <c r="F2" s="141"/>
      <c r="G2" s="141"/>
      <c r="H2" s="140"/>
      <c r="I2" s="141"/>
      <c r="J2" s="141"/>
      <c r="K2" s="141"/>
      <c r="L2" s="141"/>
      <c r="M2" s="141"/>
      <c r="N2" s="141"/>
      <c r="O2" s="141"/>
      <c r="P2" s="138"/>
      <c r="Q2" s="138"/>
      <c r="R2" s="138"/>
      <c r="S2" s="138"/>
    </row>
    <row r="3" spans="1:256" ht="23.25" x14ac:dyDescent="0.35">
      <c r="A3" s="138"/>
      <c r="B3" s="146"/>
      <c r="C3" s="138"/>
      <c r="D3" s="145"/>
      <c r="E3" s="141"/>
      <c r="F3" s="141"/>
      <c r="G3" s="141"/>
      <c r="H3" s="141"/>
      <c r="I3" s="141"/>
      <c r="J3" s="147"/>
      <c r="K3" s="147"/>
      <c r="L3" s="141"/>
      <c r="M3" s="141"/>
      <c r="N3" s="141"/>
      <c r="O3" s="141"/>
      <c r="P3" s="138"/>
      <c r="Q3" s="138"/>
      <c r="R3" s="138"/>
      <c r="S3" s="138"/>
    </row>
    <row r="4" spans="1:256" ht="23.25" x14ac:dyDescent="0.35">
      <c r="A4" s="138"/>
      <c r="B4" s="139"/>
      <c r="C4" s="139"/>
      <c r="D4" s="145"/>
      <c r="E4" s="141"/>
      <c r="F4" s="141"/>
      <c r="G4" s="141"/>
      <c r="H4" s="141"/>
      <c r="I4" s="141"/>
      <c r="J4" s="147"/>
      <c r="K4" s="147"/>
      <c r="L4" s="141"/>
      <c r="M4" s="141"/>
      <c r="N4" s="141"/>
      <c r="O4" s="141"/>
      <c r="P4" s="138"/>
      <c r="Q4" s="138"/>
      <c r="R4" s="138"/>
      <c r="S4" s="138"/>
    </row>
    <row r="5" spans="1:256" ht="23.25" x14ac:dyDescent="0.35">
      <c r="A5" s="138"/>
      <c r="B5" s="148"/>
      <c r="C5" s="139"/>
      <c r="D5" s="145"/>
      <c r="E5" s="141"/>
      <c r="F5" s="141"/>
      <c r="G5" s="141"/>
      <c r="H5" s="141"/>
      <c r="I5" s="141"/>
      <c r="J5" s="147"/>
      <c r="K5" s="147"/>
      <c r="L5" s="141"/>
      <c r="M5" s="141"/>
      <c r="N5" s="141"/>
      <c r="O5" s="141"/>
      <c r="P5" s="138"/>
      <c r="Q5" s="138"/>
      <c r="R5" s="138"/>
      <c r="S5" s="138"/>
    </row>
    <row r="6" spans="1:256" ht="23.25" x14ac:dyDescent="0.35">
      <c r="A6" s="138"/>
      <c r="B6" s="148"/>
      <c r="C6" s="139"/>
      <c r="D6" s="145"/>
      <c r="E6" s="141"/>
      <c r="F6" s="141"/>
      <c r="G6" s="141"/>
      <c r="H6" s="141"/>
      <c r="I6" s="141"/>
      <c r="J6" s="147"/>
      <c r="K6" s="147"/>
      <c r="L6" s="141"/>
      <c r="M6" s="141"/>
      <c r="N6" s="141"/>
      <c r="O6" s="141"/>
      <c r="P6" s="138"/>
      <c r="Q6" s="138"/>
      <c r="R6" s="138"/>
      <c r="S6" s="138"/>
    </row>
    <row r="7" spans="1:256" ht="15.75" x14ac:dyDescent="0.25">
      <c r="A7" s="138"/>
      <c r="B7" s="147"/>
      <c r="C7" s="138"/>
      <c r="D7" s="148"/>
      <c r="E7" s="147"/>
      <c r="F7" s="147"/>
      <c r="G7" s="147"/>
      <c r="H7" s="147"/>
      <c r="I7" s="147"/>
      <c r="J7" s="147"/>
      <c r="K7" s="147"/>
      <c r="L7" s="147"/>
      <c r="M7" s="147"/>
      <c r="N7" s="147"/>
      <c r="O7" s="147"/>
      <c r="P7" s="147"/>
      <c r="Q7" s="147"/>
      <c r="R7" s="147"/>
      <c r="S7" s="138"/>
    </row>
    <row r="8" spans="1:256" ht="15.75" x14ac:dyDescent="0.25">
      <c r="B8" s="149"/>
      <c r="D8" s="150"/>
      <c r="E8" s="149"/>
      <c r="F8" s="149"/>
      <c r="G8" s="149"/>
      <c r="H8" s="149"/>
      <c r="I8" s="149"/>
      <c r="J8" s="149"/>
      <c r="K8" s="149"/>
      <c r="L8" s="149"/>
      <c r="M8" s="149"/>
      <c r="N8" s="149"/>
      <c r="O8" s="149"/>
      <c r="P8" s="149"/>
      <c r="Q8" s="149"/>
      <c r="R8" s="149"/>
    </row>
    <row r="9" spans="1:256" ht="15.75" x14ac:dyDescent="0.25">
      <c r="B9" s="149" t="s">
        <v>140</v>
      </c>
      <c r="D9" s="149"/>
      <c r="E9" s="149"/>
      <c r="F9" s="149"/>
      <c r="G9" s="149"/>
      <c r="H9" s="149"/>
      <c r="I9" s="149"/>
      <c r="J9" s="149"/>
      <c r="K9" s="149"/>
      <c r="L9" s="149"/>
      <c r="M9" s="149"/>
      <c r="N9" s="149"/>
      <c r="O9" s="149"/>
      <c r="P9" s="149"/>
      <c r="Q9" s="149"/>
      <c r="R9" s="149"/>
    </row>
    <row r="10" spans="1:256" ht="15" customHeight="1" x14ac:dyDescent="0.25">
      <c r="A10" s="151"/>
      <c r="B10" s="152" t="s">
        <v>141</v>
      </c>
      <c r="C10" s="153"/>
      <c r="D10" s="152"/>
      <c r="E10" s="152"/>
      <c r="F10" s="153"/>
      <c r="G10" s="153"/>
      <c r="H10" s="153"/>
      <c r="I10" s="153"/>
      <c r="J10" s="153"/>
      <c r="K10" s="153"/>
      <c r="L10" s="153"/>
      <c r="M10" s="153"/>
      <c r="N10" s="153"/>
      <c r="O10" s="153"/>
      <c r="P10" s="153"/>
      <c r="Q10" s="153"/>
      <c r="R10" s="153"/>
      <c r="S10" s="154"/>
    </row>
    <row r="11" spans="1:256" ht="15" customHeight="1" x14ac:dyDescent="0.25">
      <c r="A11" s="155"/>
      <c r="B11" s="150"/>
      <c r="C11" s="149"/>
      <c r="D11" s="149"/>
      <c r="E11" s="149"/>
      <c r="F11" s="155"/>
      <c r="G11" s="155"/>
      <c r="H11" s="155"/>
      <c r="I11" s="155"/>
      <c r="J11" s="155"/>
      <c r="K11" s="155"/>
      <c r="L11" s="155"/>
      <c r="M11" s="155"/>
      <c r="N11" s="155"/>
      <c r="O11" s="155"/>
      <c r="P11" s="155"/>
      <c r="Q11" s="155"/>
      <c r="R11" s="155"/>
    </row>
    <row r="12" spans="1:256" ht="15" customHeight="1" x14ac:dyDescent="0.25">
      <c r="A12" s="155"/>
      <c r="B12" s="156" t="s">
        <v>142</v>
      </c>
      <c r="C12" s="155" t="s">
        <v>143</v>
      </c>
      <c r="D12" s="155"/>
      <c r="E12" s="149"/>
      <c r="F12" s="155"/>
      <c r="G12" s="155"/>
      <c r="H12" s="155"/>
      <c r="I12" s="155"/>
      <c r="J12" s="155"/>
      <c r="K12" s="155"/>
      <c r="L12" s="155"/>
      <c r="M12" s="155"/>
      <c r="N12" s="155"/>
      <c r="O12" s="155"/>
      <c r="P12" s="155"/>
      <c r="Q12" s="155"/>
      <c r="R12" s="155"/>
    </row>
    <row r="13" spans="1:256" ht="15" customHeight="1" x14ac:dyDescent="0.25">
      <c r="A13" s="155"/>
      <c r="B13" s="157"/>
      <c r="C13" s="155" t="s">
        <v>144</v>
      </c>
      <c r="D13" s="155"/>
      <c r="E13" s="149"/>
      <c r="F13" s="155"/>
      <c r="G13" s="155"/>
      <c r="H13" s="155"/>
      <c r="I13" s="155"/>
      <c r="J13" s="155"/>
      <c r="K13" s="155"/>
      <c r="L13" s="155"/>
      <c r="M13" s="155"/>
      <c r="N13" s="155"/>
      <c r="O13" s="155"/>
      <c r="P13" s="155"/>
      <c r="Q13" s="155"/>
      <c r="R13" s="155"/>
    </row>
    <row r="14" spans="1:256" ht="15" customHeight="1" x14ac:dyDescent="0.25">
      <c r="A14" s="155"/>
      <c r="B14" s="156" t="s">
        <v>142</v>
      </c>
      <c r="C14" s="155" t="s">
        <v>145</v>
      </c>
      <c r="D14" s="155"/>
      <c r="E14" s="149"/>
      <c r="F14" s="155"/>
      <c r="G14" s="155"/>
      <c r="H14" s="155"/>
      <c r="I14" s="155"/>
      <c r="J14" s="155"/>
      <c r="K14" s="155"/>
      <c r="L14" s="155"/>
      <c r="M14" s="155"/>
      <c r="N14" s="155"/>
      <c r="O14" s="155"/>
      <c r="P14" s="155"/>
      <c r="Q14" s="155"/>
      <c r="R14" s="155"/>
    </row>
    <row r="15" spans="1:256" ht="15" customHeight="1" x14ac:dyDescent="0.2">
      <c r="A15" s="155"/>
      <c r="B15" s="158"/>
      <c r="C15" s="101" t="s">
        <v>146</v>
      </c>
      <c r="D15" s="101"/>
      <c r="E15" s="101"/>
      <c r="F15" s="101"/>
      <c r="G15" s="101"/>
      <c r="H15" s="101"/>
      <c r="I15" s="101"/>
      <c r="J15" s="101"/>
      <c r="K15" s="101"/>
      <c r="L15" s="158"/>
      <c r="M15" s="158"/>
      <c r="N15" s="158"/>
      <c r="O15" s="158"/>
      <c r="P15" s="158"/>
      <c r="Q15" s="155"/>
      <c r="R15" s="158"/>
      <c r="S15" s="158"/>
      <c r="T15" s="158"/>
      <c r="U15" s="158"/>
      <c r="V15" s="158"/>
      <c r="W15" s="158"/>
      <c r="X15" s="158"/>
      <c r="Y15" s="158"/>
      <c r="Z15" s="158"/>
      <c r="AA15" s="158"/>
      <c r="AB15" s="158"/>
      <c r="AC15" s="158"/>
      <c r="AD15" s="158"/>
      <c r="AE15" s="158"/>
      <c r="AF15" s="158"/>
      <c r="AG15" s="155"/>
      <c r="AH15" s="158"/>
      <c r="AI15" s="158"/>
      <c r="AJ15" s="158"/>
      <c r="AK15" s="158"/>
      <c r="AL15" s="158"/>
      <c r="AM15" s="158"/>
      <c r="AN15" s="158"/>
      <c r="AO15" s="158"/>
      <c r="AP15" s="158"/>
      <c r="AQ15" s="158"/>
      <c r="AR15" s="158"/>
      <c r="AS15" s="158"/>
      <c r="AT15" s="158"/>
      <c r="AU15" s="158"/>
      <c r="AV15" s="158"/>
      <c r="AW15" s="155"/>
      <c r="AX15" s="158"/>
      <c r="AY15" s="158"/>
      <c r="AZ15" s="158"/>
      <c r="BA15" s="158"/>
      <c r="BB15" s="158"/>
      <c r="BC15" s="158"/>
      <c r="BD15" s="158"/>
      <c r="BE15" s="158"/>
      <c r="BF15" s="158"/>
      <c r="BG15" s="158"/>
      <c r="BH15" s="158"/>
      <c r="BI15" s="158"/>
      <c r="BJ15" s="158"/>
      <c r="BK15" s="158"/>
      <c r="BL15" s="158"/>
      <c r="BM15" s="155"/>
      <c r="BN15" s="158"/>
      <c r="BO15" s="158"/>
      <c r="BP15" s="158"/>
      <c r="BQ15" s="158"/>
      <c r="BR15" s="158"/>
      <c r="BS15" s="158"/>
      <c r="BT15" s="158"/>
      <c r="BU15" s="158"/>
      <c r="BV15" s="158"/>
      <c r="BW15" s="158"/>
      <c r="BX15" s="158"/>
      <c r="BY15" s="158"/>
      <c r="BZ15" s="158"/>
      <c r="CA15" s="158"/>
      <c r="CB15" s="158"/>
      <c r="CC15" s="155"/>
      <c r="CD15" s="158"/>
      <c r="CE15" s="158"/>
      <c r="CF15" s="158"/>
      <c r="CG15" s="158"/>
      <c r="CH15" s="158"/>
      <c r="CI15" s="158"/>
      <c r="CJ15" s="158"/>
      <c r="CK15" s="158"/>
      <c r="CL15" s="158"/>
      <c r="CM15" s="158"/>
      <c r="CN15" s="158"/>
      <c r="CO15" s="158"/>
      <c r="CP15" s="158"/>
      <c r="CQ15" s="158"/>
      <c r="CR15" s="158"/>
      <c r="CS15" s="155"/>
      <c r="CT15" s="158"/>
      <c r="CU15" s="158"/>
      <c r="CV15" s="158"/>
      <c r="CW15" s="158"/>
      <c r="CX15" s="158"/>
      <c r="CY15" s="158"/>
      <c r="CZ15" s="158"/>
      <c r="DA15" s="158"/>
      <c r="DB15" s="158"/>
      <c r="DC15" s="158"/>
      <c r="DD15" s="158"/>
      <c r="DE15" s="158"/>
      <c r="DF15" s="158"/>
      <c r="DG15" s="158"/>
      <c r="DH15" s="158"/>
      <c r="DI15" s="155"/>
      <c r="DJ15" s="158"/>
      <c r="DK15" s="158"/>
      <c r="DL15" s="158"/>
      <c r="DM15" s="158"/>
      <c r="DN15" s="158"/>
      <c r="DO15" s="158"/>
      <c r="DP15" s="158"/>
      <c r="DQ15" s="158"/>
      <c r="DR15" s="158"/>
      <c r="DS15" s="158"/>
      <c r="DT15" s="158"/>
      <c r="DU15" s="158"/>
      <c r="DV15" s="158"/>
      <c r="DW15" s="158"/>
      <c r="DX15" s="158"/>
      <c r="DY15" s="155"/>
      <c r="DZ15" s="158"/>
      <c r="EA15" s="158"/>
      <c r="EB15" s="158"/>
      <c r="EC15" s="158"/>
      <c r="ED15" s="158"/>
      <c r="EE15" s="158"/>
      <c r="EF15" s="158"/>
      <c r="EG15" s="158"/>
      <c r="EH15" s="158"/>
      <c r="EI15" s="158"/>
      <c r="EJ15" s="158"/>
      <c r="EK15" s="158"/>
      <c r="EL15" s="158"/>
      <c r="EM15" s="158"/>
      <c r="EN15" s="158"/>
      <c r="EO15" s="155"/>
      <c r="EP15" s="158"/>
      <c r="EQ15" s="158"/>
      <c r="ER15" s="158"/>
      <c r="ES15" s="158"/>
      <c r="ET15" s="158"/>
      <c r="EU15" s="158"/>
      <c r="EV15" s="158"/>
      <c r="EW15" s="158"/>
      <c r="EX15" s="158"/>
      <c r="EY15" s="158"/>
      <c r="EZ15" s="158"/>
      <c r="FA15" s="158"/>
      <c r="FB15" s="158"/>
      <c r="FC15" s="158"/>
      <c r="FD15" s="158"/>
      <c r="FE15" s="155"/>
      <c r="FF15" s="158"/>
      <c r="FG15" s="158"/>
      <c r="FH15" s="158"/>
      <c r="FI15" s="158"/>
      <c r="FJ15" s="158"/>
      <c r="FK15" s="158"/>
      <c r="FL15" s="158"/>
      <c r="FM15" s="158"/>
      <c r="FN15" s="158"/>
      <c r="FO15" s="158"/>
      <c r="FP15" s="158"/>
      <c r="FQ15" s="158"/>
      <c r="FR15" s="158"/>
      <c r="FS15" s="158"/>
      <c r="FT15" s="158"/>
      <c r="FU15" s="155"/>
      <c r="FV15" s="158"/>
      <c r="FW15" s="158"/>
      <c r="FX15" s="158"/>
      <c r="FY15" s="158"/>
      <c r="FZ15" s="158"/>
      <c r="GA15" s="158"/>
      <c r="GB15" s="158"/>
      <c r="GC15" s="158"/>
      <c r="GD15" s="158"/>
      <c r="GE15" s="158"/>
      <c r="GF15" s="158"/>
      <c r="GG15" s="158"/>
      <c r="GH15" s="158"/>
      <c r="GI15" s="158"/>
      <c r="GJ15" s="158"/>
      <c r="GK15" s="155"/>
      <c r="GL15" s="158"/>
      <c r="GM15" s="158"/>
      <c r="GN15" s="158"/>
      <c r="GO15" s="158"/>
      <c r="GP15" s="158"/>
      <c r="GQ15" s="158"/>
      <c r="GR15" s="158"/>
      <c r="GS15" s="158"/>
      <c r="GT15" s="158"/>
      <c r="GU15" s="158"/>
      <c r="GV15" s="158"/>
      <c r="GW15" s="158"/>
      <c r="GX15" s="158"/>
      <c r="GY15" s="158"/>
      <c r="GZ15" s="158"/>
      <c r="HA15" s="155"/>
      <c r="HB15" s="158"/>
      <c r="HC15" s="158"/>
      <c r="HD15" s="158"/>
      <c r="HE15" s="158"/>
      <c r="HF15" s="158"/>
      <c r="HG15" s="158"/>
      <c r="HH15" s="158"/>
      <c r="HI15" s="158"/>
      <c r="HJ15" s="158"/>
      <c r="HK15" s="158"/>
      <c r="HL15" s="158"/>
      <c r="HM15" s="158"/>
      <c r="HN15" s="158"/>
      <c r="HO15" s="158"/>
      <c r="HP15" s="158"/>
      <c r="HQ15" s="155"/>
      <c r="HR15" s="158"/>
      <c r="HS15" s="158"/>
      <c r="HT15" s="158"/>
      <c r="HU15" s="158"/>
      <c r="HV15" s="158"/>
      <c r="HW15" s="158"/>
      <c r="HX15" s="158"/>
      <c r="HY15" s="158"/>
      <c r="HZ15" s="158"/>
      <c r="IA15" s="158"/>
      <c r="IB15" s="158"/>
      <c r="IC15" s="158"/>
      <c r="ID15" s="158"/>
      <c r="IE15" s="158"/>
      <c r="IF15" s="158"/>
      <c r="IG15" s="155"/>
      <c r="IH15" s="158"/>
      <c r="II15" s="158"/>
      <c r="IJ15" s="158"/>
      <c r="IK15" s="158"/>
      <c r="IL15" s="158"/>
      <c r="IM15" s="158"/>
      <c r="IN15" s="158"/>
      <c r="IO15" s="158"/>
      <c r="IP15" s="158"/>
      <c r="IQ15" s="158"/>
      <c r="IR15" s="158"/>
      <c r="IS15" s="158"/>
      <c r="IT15" s="158"/>
      <c r="IU15" s="158"/>
      <c r="IV15" s="158"/>
    </row>
    <row r="16" spans="1:256" ht="15" customHeight="1" x14ac:dyDescent="0.2">
      <c r="A16" s="155"/>
      <c r="B16" s="156" t="s">
        <v>142</v>
      </c>
      <c r="C16" s="155" t="s">
        <v>147</v>
      </c>
      <c r="D16" s="155"/>
      <c r="E16" s="155"/>
      <c r="F16" s="155"/>
      <c r="G16" s="155"/>
      <c r="H16" s="155"/>
      <c r="I16" s="155"/>
      <c r="J16" s="155"/>
      <c r="K16" s="155"/>
      <c r="L16" s="155"/>
      <c r="M16" s="155"/>
      <c r="N16" s="155"/>
      <c r="O16" s="155"/>
      <c r="P16" s="155"/>
      <c r="Q16" s="155"/>
      <c r="R16" s="155"/>
      <c r="S16" s="155"/>
      <c r="X16" s="143"/>
      <c r="AO16" s="144"/>
    </row>
    <row r="17" spans="1:40" ht="15" customHeight="1" x14ac:dyDescent="0.2">
      <c r="A17" s="155"/>
      <c r="B17" s="156" t="s">
        <v>142</v>
      </c>
      <c r="C17" s="155" t="s">
        <v>148</v>
      </c>
      <c r="D17" s="155"/>
      <c r="E17" s="155"/>
      <c r="F17" s="155"/>
      <c r="G17" s="155"/>
      <c r="H17" s="155"/>
      <c r="I17" s="155"/>
      <c r="J17" s="155"/>
      <c r="K17" s="155"/>
      <c r="L17" s="155"/>
      <c r="M17" s="155"/>
      <c r="N17" s="155"/>
      <c r="O17" s="155"/>
      <c r="P17" s="155"/>
      <c r="Q17" s="155"/>
      <c r="R17" s="155"/>
    </row>
    <row r="18" spans="1:40" ht="15" customHeight="1" x14ac:dyDescent="0.25">
      <c r="A18" s="155"/>
      <c r="B18" s="149"/>
      <c r="C18" s="155"/>
      <c r="D18" s="155"/>
      <c r="E18" s="155"/>
      <c r="F18" s="155"/>
      <c r="G18" s="155"/>
      <c r="H18" s="155"/>
      <c r="I18" s="155"/>
      <c r="J18" s="155"/>
      <c r="K18" s="155"/>
      <c r="L18" s="155"/>
      <c r="M18" s="155"/>
      <c r="N18" s="155"/>
      <c r="O18" s="155"/>
      <c r="P18" s="155"/>
      <c r="Q18" s="155"/>
      <c r="R18" s="155"/>
    </row>
    <row r="19" spans="1:40" ht="15" customHeight="1" x14ac:dyDescent="0.2">
      <c r="A19" s="155"/>
      <c r="B19" s="159"/>
      <c r="C19" s="159"/>
      <c r="D19" s="159"/>
      <c r="E19" s="159"/>
      <c r="F19" s="159"/>
      <c r="G19" s="159"/>
      <c r="H19" s="159"/>
      <c r="I19" s="159"/>
      <c r="J19" s="159"/>
      <c r="K19" s="159"/>
      <c r="L19" s="159"/>
      <c r="M19" s="159"/>
      <c r="N19" s="159"/>
      <c r="O19" s="159"/>
      <c r="P19" s="159"/>
      <c r="Q19" s="159"/>
      <c r="R19" s="155"/>
    </row>
    <row r="20" spans="1:40" ht="15" customHeight="1" x14ac:dyDescent="0.25">
      <c r="A20" s="151"/>
      <c r="B20" s="152" t="s">
        <v>149</v>
      </c>
      <c r="C20" s="153"/>
      <c r="D20" s="153"/>
      <c r="E20" s="153"/>
      <c r="F20" s="153"/>
      <c r="G20" s="153"/>
      <c r="H20" s="153"/>
      <c r="I20" s="153"/>
      <c r="J20" s="153"/>
      <c r="K20" s="153"/>
      <c r="L20" s="153"/>
      <c r="M20" s="153"/>
      <c r="N20" s="153"/>
      <c r="O20" s="153"/>
      <c r="P20" s="153"/>
      <c r="Q20" s="153"/>
      <c r="R20" s="153"/>
      <c r="S20" s="154"/>
    </row>
    <row r="21" spans="1:40" ht="15" customHeight="1" x14ac:dyDescent="0.25">
      <c r="A21" s="155"/>
      <c r="B21" s="160"/>
      <c r="C21" s="151"/>
      <c r="D21" s="151"/>
      <c r="E21" s="151"/>
      <c r="F21" s="151"/>
      <c r="G21" s="151"/>
      <c r="H21" s="151"/>
      <c r="I21" s="151"/>
      <c r="J21" s="151"/>
      <c r="K21" s="151"/>
      <c r="L21" s="151"/>
      <c r="M21" s="151"/>
      <c r="N21" s="151"/>
      <c r="O21" s="151"/>
      <c r="P21" s="151"/>
      <c r="Q21" s="151"/>
      <c r="R21" s="151"/>
    </row>
    <row r="22" spans="1:40" ht="15" customHeight="1" x14ac:dyDescent="0.25">
      <c r="A22" s="155"/>
      <c r="B22" s="161" t="s">
        <v>234</v>
      </c>
      <c r="C22" s="151"/>
      <c r="D22" s="151"/>
      <c r="E22" s="151"/>
      <c r="F22" s="151"/>
      <c r="G22" s="151"/>
      <c r="H22" s="151"/>
      <c r="I22" s="151"/>
      <c r="J22" s="151"/>
      <c r="K22" s="151"/>
      <c r="L22" s="151"/>
      <c r="M22" s="151"/>
      <c r="N22" s="151"/>
      <c r="O22" s="151"/>
      <c r="P22" s="151"/>
      <c r="Q22" s="151"/>
    </row>
    <row r="23" spans="1:40" ht="15" customHeight="1" x14ac:dyDescent="0.2">
      <c r="A23" s="155"/>
      <c r="B23" s="155" t="s">
        <v>235</v>
      </c>
      <c r="C23" s="151"/>
      <c r="D23" s="151"/>
      <c r="E23" s="151"/>
      <c r="F23" s="151"/>
      <c r="G23" s="151"/>
      <c r="H23" s="151"/>
      <c r="I23" s="151"/>
      <c r="J23" s="151"/>
      <c r="K23" s="151"/>
      <c r="L23" s="151"/>
      <c r="M23" s="151"/>
      <c r="N23" s="151"/>
      <c r="O23" s="151"/>
      <c r="P23" s="151"/>
      <c r="Q23" s="151"/>
    </row>
    <row r="24" spans="1:40" ht="15" customHeight="1" x14ac:dyDescent="0.2">
      <c r="A24" s="155"/>
      <c r="B24" s="162" t="s">
        <v>150</v>
      </c>
      <c r="C24" s="151"/>
      <c r="D24" s="151"/>
      <c r="E24" s="151"/>
      <c r="F24" s="151"/>
      <c r="G24" s="151"/>
      <c r="H24" s="151"/>
      <c r="I24" s="151"/>
      <c r="J24" s="151"/>
      <c r="K24" s="151"/>
      <c r="L24" s="151"/>
      <c r="M24" s="151"/>
      <c r="N24" s="151"/>
      <c r="O24" s="151"/>
      <c r="P24" s="151"/>
      <c r="Q24" s="151"/>
    </row>
    <row r="25" spans="1:40" ht="15" customHeight="1" x14ac:dyDescent="0.2">
      <c r="A25" s="155"/>
      <c r="B25" s="162" t="s">
        <v>151</v>
      </c>
      <c r="C25" s="151"/>
      <c r="D25" s="151"/>
      <c r="E25" s="151"/>
      <c r="F25" s="151"/>
      <c r="G25" s="151"/>
      <c r="H25" s="151"/>
      <c r="I25" s="151"/>
      <c r="J25" s="151"/>
      <c r="K25" s="151"/>
      <c r="L25" s="151"/>
      <c r="M25" s="151"/>
      <c r="N25" s="151"/>
      <c r="O25" s="151"/>
      <c r="P25" s="151"/>
      <c r="Q25" s="151"/>
    </row>
    <row r="26" spans="1:40" ht="15" customHeight="1" x14ac:dyDescent="0.2">
      <c r="A26" s="155"/>
      <c r="B26" s="162" t="s">
        <v>152</v>
      </c>
      <c r="C26" s="151"/>
      <c r="D26" s="151"/>
      <c r="E26" s="151"/>
      <c r="F26" s="151"/>
      <c r="G26" s="151"/>
      <c r="H26" s="151"/>
      <c r="I26" s="151"/>
      <c r="J26" s="151"/>
      <c r="K26" s="151"/>
      <c r="L26" s="151"/>
      <c r="M26" s="151"/>
      <c r="N26" s="151"/>
      <c r="O26" s="151"/>
      <c r="P26" s="151"/>
      <c r="Q26" s="151"/>
    </row>
    <row r="27" spans="1:40" ht="15" customHeight="1" x14ac:dyDescent="0.2">
      <c r="A27" s="155"/>
      <c r="B27" s="162" t="s">
        <v>153</v>
      </c>
      <c r="C27" s="151"/>
      <c r="D27" s="151"/>
      <c r="E27" s="151"/>
      <c r="F27" s="151"/>
      <c r="G27" s="151"/>
      <c r="H27" s="151"/>
      <c r="I27" s="151"/>
      <c r="J27" s="151"/>
      <c r="K27" s="151"/>
      <c r="L27" s="151"/>
      <c r="M27" s="151"/>
      <c r="N27" s="151"/>
      <c r="O27" s="151"/>
      <c r="P27" s="151"/>
      <c r="Q27" s="151"/>
    </row>
    <row r="28" spans="1:40" ht="15" customHeight="1" x14ac:dyDescent="0.2">
      <c r="A28" s="151"/>
      <c r="B28" s="162"/>
      <c r="C28" s="151"/>
      <c r="D28" s="151"/>
      <c r="E28" s="151"/>
      <c r="F28" s="151"/>
      <c r="G28" s="151"/>
      <c r="H28" s="151"/>
      <c r="I28" s="151"/>
      <c r="J28" s="151"/>
      <c r="K28" s="151"/>
      <c r="L28" s="151"/>
      <c r="M28" s="151"/>
      <c r="N28" s="151"/>
      <c r="O28" s="151"/>
      <c r="P28" s="151"/>
      <c r="Q28" s="151"/>
    </row>
    <row r="29" spans="1:40" ht="15" customHeight="1" x14ac:dyDescent="0.2">
      <c r="A29" s="151"/>
      <c r="B29" s="162" t="s">
        <v>238</v>
      </c>
      <c r="C29" s="155"/>
      <c r="D29" s="155"/>
      <c r="E29" s="155"/>
      <c r="F29" s="155"/>
      <c r="G29" s="155"/>
      <c r="H29" s="155"/>
      <c r="I29" s="155"/>
      <c r="J29" s="155"/>
      <c r="K29" s="155"/>
      <c r="L29" s="155"/>
      <c r="M29" s="155"/>
      <c r="N29" s="155"/>
      <c r="O29" s="155"/>
      <c r="P29" s="155"/>
      <c r="Q29" s="155"/>
    </row>
    <row r="30" spans="1:40" ht="15" customHeight="1" x14ac:dyDescent="0.2">
      <c r="A30" s="151"/>
      <c r="B30" s="162" t="s">
        <v>236</v>
      </c>
      <c r="C30" s="155"/>
      <c r="D30" s="155"/>
      <c r="E30" s="155"/>
      <c r="F30" s="155"/>
      <c r="G30" s="155"/>
      <c r="H30" s="155"/>
      <c r="I30" s="155"/>
      <c r="J30" s="155"/>
      <c r="K30" s="155"/>
      <c r="L30" s="155"/>
      <c r="M30" s="155"/>
      <c r="N30" s="155"/>
      <c r="O30" s="155"/>
      <c r="P30" s="155"/>
      <c r="Q30" s="155"/>
      <c r="W30" s="144"/>
      <c r="AN30" s="143"/>
    </row>
    <row r="31" spans="1:40" ht="15" customHeight="1" x14ac:dyDescent="0.2">
      <c r="A31" s="151"/>
      <c r="B31" s="162" t="s">
        <v>154</v>
      </c>
      <c r="C31" s="155"/>
      <c r="D31" s="155"/>
      <c r="E31" s="155"/>
      <c r="F31" s="155"/>
      <c r="G31" s="155"/>
      <c r="H31" s="155"/>
      <c r="I31" s="155"/>
      <c r="J31" s="155"/>
      <c r="K31" s="155"/>
      <c r="L31" s="155"/>
      <c r="M31" s="155"/>
      <c r="N31" s="155"/>
      <c r="O31" s="155"/>
      <c r="P31" s="155"/>
      <c r="Q31" s="155"/>
      <c r="W31" s="144"/>
      <c r="AN31" s="143"/>
    </row>
    <row r="32" spans="1:40" ht="15" customHeight="1" x14ac:dyDescent="0.2">
      <c r="A32" s="151"/>
      <c r="B32" s="162" t="s">
        <v>237</v>
      </c>
      <c r="C32" s="151"/>
      <c r="D32" s="151"/>
      <c r="E32" s="151"/>
      <c r="F32" s="151"/>
      <c r="G32" s="151"/>
      <c r="H32" s="151"/>
      <c r="I32" s="151"/>
      <c r="J32" s="151"/>
      <c r="K32" s="151"/>
      <c r="L32" s="151"/>
      <c r="M32" s="151"/>
      <c r="N32" s="151"/>
      <c r="O32" s="151"/>
      <c r="P32" s="151"/>
      <c r="Q32" s="151"/>
      <c r="W32" s="144"/>
      <c r="AN32" s="143"/>
    </row>
    <row r="33" spans="1:40" ht="15" customHeight="1" x14ac:dyDescent="0.2">
      <c r="A33" s="151"/>
      <c r="B33" s="162" t="s">
        <v>239</v>
      </c>
      <c r="C33" s="155"/>
      <c r="D33" s="155"/>
      <c r="E33" s="155"/>
      <c r="F33" s="155"/>
      <c r="G33" s="155"/>
      <c r="H33" s="155"/>
      <c r="I33" s="155"/>
      <c r="J33" s="155"/>
      <c r="K33" s="155"/>
      <c r="L33" s="155"/>
      <c r="M33" s="155"/>
      <c r="N33" s="155"/>
      <c r="O33" s="155"/>
      <c r="P33" s="155"/>
      <c r="Q33" s="155"/>
      <c r="W33" s="144"/>
      <c r="AN33" s="143"/>
    </row>
    <row r="34" spans="1:40" ht="15" customHeight="1" x14ac:dyDescent="0.2">
      <c r="A34" s="151"/>
      <c r="B34" s="162" t="s">
        <v>240</v>
      </c>
      <c r="C34" s="155"/>
      <c r="D34" s="155"/>
      <c r="E34" s="155"/>
      <c r="F34" s="155"/>
      <c r="G34" s="155"/>
      <c r="H34" s="155"/>
      <c r="I34" s="155"/>
      <c r="J34" s="155"/>
      <c r="K34" s="155"/>
      <c r="L34" s="155"/>
      <c r="M34" s="155"/>
      <c r="N34" s="155"/>
      <c r="O34" s="155"/>
      <c r="P34" s="155"/>
      <c r="Q34" s="155"/>
      <c r="W34" s="144"/>
      <c r="AN34" s="143"/>
    </row>
    <row r="35" spans="1:40" ht="15" customHeight="1" x14ac:dyDescent="0.2">
      <c r="A35" s="151"/>
      <c r="B35" s="162" t="s">
        <v>155</v>
      </c>
      <c r="C35" s="155"/>
      <c r="D35" s="155"/>
      <c r="E35" s="155"/>
      <c r="F35" s="155"/>
      <c r="G35" s="155"/>
      <c r="H35" s="155"/>
      <c r="I35" s="155"/>
      <c r="J35" s="155"/>
      <c r="K35" s="155"/>
      <c r="L35" s="155"/>
      <c r="M35" s="155"/>
      <c r="N35" s="155"/>
      <c r="O35" s="155"/>
      <c r="P35" s="155"/>
      <c r="Q35" s="155"/>
      <c r="W35" s="144"/>
      <c r="AN35" s="143"/>
    </row>
    <row r="36" spans="1:40" ht="15" customHeight="1" x14ac:dyDescent="0.2">
      <c r="A36" s="151"/>
      <c r="B36" s="162" t="s">
        <v>156</v>
      </c>
      <c r="C36" s="151"/>
      <c r="D36" s="151"/>
      <c r="E36" s="151"/>
      <c r="F36" s="151"/>
      <c r="G36" s="151"/>
      <c r="H36" s="151"/>
      <c r="I36" s="151"/>
      <c r="J36" s="151"/>
      <c r="K36" s="151"/>
      <c r="L36" s="151"/>
      <c r="M36" s="151"/>
      <c r="N36" s="151"/>
      <c r="O36" s="151"/>
      <c r="P36" s="151"/>
      <c r="Q36" s="151"/>
      <c r="W36" s="144"/>
      <c r="AN36" s="143"/>
    </row>
    <row r="37" spans="1:40" ht="15" customHeight="1" x14ac:dyDescent="0.2">
      <c r="A37" s="151"/>
      <c r="W37" s="144"/>
      <c r="AN37" s="143"/>
    </row>
    <row r="38" spans="1:40" ht="15" customHeight="1" x14ac:dyDescent="0.2">
      <c r="A38" s="151"/>
      <c r="B38" s="163" t="s">
        <v>241</v>
      </c>
      <c r="C38" s="162"/>
      <c r="D38" s="151"/>
      <c r="E38" s="151"/>
      <c r="F38" s="151"/>
      <c r="G38" s="151"/>
      <c r="H38" s="151"/>
      <c r="I38" s="151"/>
      <c r="J38" s="151"/>
      <c r="K38" s="151"/>
      <c r="L38" s="151"/>
      <c r="M38" s="151"/>
      <c r="N38" s="151"/>
      <c r="O38" s="151"/>
      <c r="P38" s="151"/>
      <c r="Q38" s="151"/>
      <c r="R38" s="151"/>
      <c r="W38" s="144"/>
      <c r="AN38" s="143"/>
    </row>
    <row r="39" spans="1:40" ht="15" customHeight="1" x14ac:dyDescent="0.2">
      <c r="A39" s="151"/>
      <c r="B39" s="163" t="s">
        <v>242</v>
      </c>
      <c r="C39" s="162"/>
      <c r="D39" s="151"/>
      <c r="E39" s="151"/>
      <c r="F39" s="151"/>
      <c r="G39" s="151"/>
      <c r="H39" s="151"/>
      <c r="I39" s="151"/>
      <c r="J39" s="151"/>
      <c r="K39" s="151"/>
      <c r="L39" s="151"/>
      <c r="M39" s="151"/>
      <c r="N39" s="151"/>
      <c r="O39" s="151"/>
      <c r="P39" s="151"/>
      <c r="Q39" s="151"/>
      <c r="R39" s="151"/>
      <c r="W39" s="144"/>
      <c r="AN39" s="143"/>
    </row>
    <row r="40" spans="1:40" ht="15" customHeight="1" x14ac:dyDescent="0.2">
      <c r="A40" s="151"/>
      <c r="B40" s="163"/>
      <c r="C40" s="162"/>
      <c r="D40" s="151"/>
      <c r="E40" s="151"/>
      <c r="F40" s="151"/>
      <c r="G40" s="151"/>
      <c r="H40" s="151"/>
      <c r="I40" s="151"/>
      <c r="J40" s="151"/>
      <c r="K40" s="151"/>
      <c r="L40" s="151"/>
      <c r="M40" s="151"/>
      <c r="N40" s="151"/>
      <c r="O40" s="151"/>
      <c r="P40" s="151"/>
      <c r="Q40" s="151"/>
      <c r="R40" s="151"/>
      <c r="W40" s="144"/>
      <c r="AN40" s="143"/>
    </row>
    <row r="41" spans="1:40" ht="15" customHeight="1" x14ac:dyDescent="0.25">
      <c r="A41" s="151"/>
      <c r="B41" s="152" t="s">
        <v>157</v>
      </c>
      <c r="C41" s="153"/>
      <c r="D41" s="153"/>
      <c r="E41" s="153"/>
      <c r="F41" s="153"/>
      <c r="G41" s="153"/>
      <c r="H41" s="153"/>
      <c r="I41" s="153"/>
      <c r="J41" s="153"/>
      <c r="K41" s="153"/>
      <c r="L41" s="153"/>
      <c r="M41" s="153"/>
      <c r="N41" s="153"/>
      <c r="O41" s="153"/>
      <c r="P41" s="153"/>
      <c r="Q41" s="153"/>
      <c r="R41" s="153"/>
      <c r="S41" s="154"/>
      <c r="W41" s="144"/>
      <c r="AN41" s="143"/>
    </row>
    <row r="42" spans="1:40" ht="15" customHeight="1" x14ac:dyDescent="0.25">
      <c r="A42" s="151"/>
      <c r="B42" s="149"/>
      <c r="C42" s="155"/>
      <c r="D42" s="155"/>
      <c r="E42" s="155"/>
      <c r="F42" s="155"/>
      <c r="G42" s="155"/>
      <c r="H42" s="155"/>
      <c r="I42" s="155"/>
      <c r="J42" s="155"/>
      <c r="K42" s="155"/>
      <c r="L42" s="155"/>
      <c r="M42" s="155"/>
      <c r="N42" s="155"/>
      <c r="O42" s="155"/>
      <c r="P42" s="155"/>
      <c r="Q42" s="155"/>
      <c r="R42" s="155"/>
      <c r="W42" s="144"/>
      <c r="AN42" s="143"/>
    </row>
    <row r="43" spans="1:40" ht="15" customHeight="1" x14ac:dyDescent="0.2">
      <c r="A43" s="151"/>
      <c r="B43" s="155" t="s">
        <v>158</v>
      </c>
      <c r="C43" s="155"/>
      <c r="D43" s="155"/>
      <c r="E43" s="155"/>
      <c r="F43" s="155"/>
      <c r="G43" s="155"/>
      <c r="H43" s="155"/>
      <c r="I43" s="155"/>
      <c r="J43" s="155"/>
      <c r="K43" s="155"/>
      <c r="L43" s="155"/>
      <c r="M43" s="155"/>
      <c r="N43" s="155"/>
      <c r="O43" s="155"/>
      <c r="P43" s="155"/>
      <c r="Q43" s="155"/>
      <c r="R43" s="155"/>
      <c r="W43" s="144"/>
      <c r="AN43" s="143"/>
    </row>
    <row r="44" spans="1:40" ht="15" customHeight="1" x14ac:dyDescent="0.2">
      <c r="A44" s="151"/>
      <c r="B44" s="156" t="s">
        <v>142</v>
      </c>
      <c r="C44" s="155" t="s">
        <v>159</v>
      </c>
      <c r="D44" s="155"/>
      <c r="E44" s="155"/>
      <c r="F44" s="155"/>
      <c r="G44" s="155"/>
      <c r="H44" s="155"/>
      <c r="I44" s="155"/>
      <c r="J44" s="155"/>
      <c r="K44" s="155"/>
      <c r="L44" s="155"/>
      <c r="M44" s="155"/>
      <c r="N44" s="155"/>
      <c r="O44" s="155"/>
      <c r="P44" s="155"/>
      <c r="Q44" s="155"/>
      <c r="R44" s="155"/>
      <c r="W44" s="144"/>
      <c r="AN44" s="143"/>
    </row>
    <row r="45" spans="1:40" ht="15" customHeight="1" x14ac:dyDescent="0.2">
      <c r="B45" s="156" t="s">
        <v>142</v>
      </c>
      <c r="C45" s="155" t="s">
        <v>160</v>
      </c>
      <c r="D45" s="155"/>
      <c r="E45" s="155"/>
      <c r="F45" s="155"/>
      <c r="G45" s="155"/>
      <c r="H45" s="155"/>
      <c r="I45" s="155"/>
      <c r="J45" s="155"/>
      <c r="K45" s="155"/>
      <c r="L45" s="155"/>
      <c r="M45" s="155"/>
      <c r="N45" s="155"/>
      <c r="O45" s="155"/>
      <c r="P45" s="155"/>
      <c r="Q45" s="155"/>
      <c r="R45" s="155"/>
    </row>
    <row r="46" spans="1:40" ht="15" customHeight="1" x14ac:dyDescent="0.2">
      <c r="A46" s="151"/>
      <c r="B46" s="156" t="s">
        <v>142</v>
      </c>
      <c r="C46" s="155" t="s">
        <v>161</v>
      </c>
      <c r="D46" s="155"/>
      <c r="E46" s="155"/>
      <c r="F46" s="155"/>
      <c r="G46" s="155"/>
      <c r="H46" s="155"/>
      <c r="I46" s="155"/>
      <c r="J46" s="155"/>
      <c r="K46" s="155"/>
      <c r="L46" s="155"/>
      <c r="M46" s="155"/>
      <c r="N46" s="155"/>
      <c r="O46" s="155"/>
      <c r="P46" s="155"/>
      <c r="Q46" s="155"/>
      <c r="R46" s="155"/>
    </row>
    <row r="47" spans="1:40" ht="15" customHeight="1" x14ac:dyDescent="0.2">
      <c r="A47" s="155"/>
      <c r="B47" s="164"/>
      <c r="C47" s="155"/>
      <c r="D47" s="155"/>
      <c r="E47" s="155"/>
      <c r="F47" s="155"/>
      <c r="G47" s="155"/>
      <c r="H47" s="155"/>
      <c r="I47" s="155"/>
      <c r="J47" s="155"/>
      <c r="K47" s="155"/>
      <c r="L47" s="155"/>
      <c r="M47" s="155"/>
      <c r="N47" s="155"/>
      <c r="O47" s="155"/>
      <c r="P47" s="155"/>
      <c r="Q47" s="155"/>
      <c r="R47" s="155"/>
    </row>
    <row r="48" spans="1:40" ht="15" customHeight="1" x14ac:dyDescent="0.2">
      <c r="A48" s="155"/>
      <c r="B48" s="155" t="s">
        <v>162</v>
      </c>
      <c r="C48" s="155"/>
      <c r="D48" s="155"/>
      <c r="E48" s="155"/>
      <c r="F48" s="155"/>
      <c r="G48" s="155"/>
      <c r="H48" s="155"/>
      <c r="I48" s="155"/>
      <c r="J48" s="155"/>
      <c r="K48" s="155"/>
      <c r="L48" s="155"/>
      <c r="M48" s="155"/>
      <c r="N48" s="155"/>
      <c r="O48" s="155"/>
      <c r="P48" s="155"/>
      <c r="Q48" s="155"/>
      <c r="R48" s="155"/>
    </row>
    <row r="49" spans="1:40" ht="15" customHeight="1" x14ac:dyDescent="0.2">
      <c r="A49" s="151"/>
      <c r="B49" s="155"/>
      <c r="C49" s="155"/>
      <c r="D49" s="155"/>
      <c r="E49" s="155"/>
      <c r="F49" s="155"/>
      <c r="G49" s="155"/>
      <c r="H49" s="155"/>
      <c r="I49" s="155"/>
      <c r="J49" s="155"/>
      <c r="K49" s="155"/>
      <c r="L49" s="155"/>
      <c r="M49" s="155"/>
      <c r="N49" s="155"/>
      <c r="O49" s="155"/>
      <c r="P49" s="155"/>
      <c r="Q49" s="155"/>
      <c r="R49" s="155"/>
    </row>
    <row r="50" spans="1:40" ht="15" customHeight="1" x14ac:dyDescent="0.25">
      <c r="A50" s="151"/>
      <c r="B50" s="165" t="s">
        <v>166</v>
      </c>
      <c r="C50" s="166"/>
      <c r="D50" s="166"/>
      <c r="E50" s="166"/>
      <c r="F50" s="166"/>
      <c r="G50" s="166"/>
      <c r="H50" s="166"/>
      <c r="I50" s="166"/>
      <c r="J50" s="166"/>
      <c r="K50" s="166"/>
      <c r="L50" s="166"/>
      <c r="M50" s="166"/>
      <c r="N50" s="166"/>
      <c r="O50" s="166"/>
      <c r="P50" s="166"/>
      <c r="Q50" s="166"/>
      <c r="R50" s="166"/>
      <c r="S50" s="167"/>
      <c r="T50" s="158"/>
      <c r="U50" s="158"/>
      <c r="V50" s="158"/>
      <c r="W50" s="158"/>
      <c r="X50" s="158"/>
      <c r="Y50" s="158"/>
      <c r="Z50" s="158"/>
      <c r="AA50" s="158"/>
      <c r="AB50" s="158"/>
      <c r="AC50" s="158"/>
      <c r="AD50" s="158"/>
      <c r="AE50" s="158"/>
      <c r="AF50" s="158"/>
      <c r="AG50" s="158"/>
      <c r="AH50" s="158"/>
      <c r="AI50" s="158"/>
      <c r="AJ50" s="158"/>
      <c r="AK50" s="158"/>
      <c r="AL50" s="158"/>
      <c r="AM50" s="158"/>
      <c r="AN50" s="158"/>
    </row>
    <row r="51" spans="1:40" ht="15" customHeight="1" x14ac:dyDescent="0.2">
      <c r="A51" s="155"/>
      <c r="C51" s="155"/>
      <c r="D51" s="155"/>
      <c r="E51" s="155"/>
      <c r="F51" s="155"/>
      <c r="G51" s="155"/>
      <c r="H51" s="155"/>
      <c r="I51" s="155"/>
      <c r="J51" s="155"/>
      <c r="K51" s="155"/>
      <c r="L51" s="155"/>
      <c r="M51" s="155"/>
      <c r="N51" s="155"/>
      <c r="O51" s="155"/>
      <c r="P51" s="155"/>
      <c r="Q51" s="155"/>
      <c r="R51" s="155"/>
    </row>
    <row r="52" spans="1:40" ht="15" customHeight="1" x14ac:dyDescent="0.2">
      <c r="A52" s="155"/>
      <c r="B52" s="155" t="s">
        <v>163</v>
      </c>
      <c r="C52" s="155"/>
      <c r="D52" s="155"/>
      <c r="E52" s="155"/>
      <c r="F52" s="155"/>
      <c r="G52" s="155"/>
      <c r="H52" s="155"/>
      <c r="I52" s="155"/>
      <c r="J52" s="155"/>
      <c r="K52" s="155"/>
      <c r="L52" s="155"/>
      <c r="M52" s="155"/>
      <c r="N52" s="155"/>
      <c r="O52" s="155"/>
      <c r="P52" s="155"/>
      <c r="Q52" s="155"/>
      <c r="R52" s="155"/>
      <c r="S52" s="158"/>
      <c r="T52" s="158"/>
      <c r="U52" s="158"/>
      <c r="V52" s="158"/>
      <c r="W52" s="158"/>
      <c r="X52" s="158"/>
      <c r="Y52" s="158"/>
      <c r="Z52" s="158"/>
      <c r="AA52" s="158"/>
      <c r="AB52" s="158"/>
      <c r="AC52" s="158"/>
      <c r="AD52" s="158"/>
      <c r="AE52" s="158"/>
      <c r="AF52" s="158"/>
      <c r="AG52" s="158"/>
      <c r="AH52" s="158"/>
      <c r="AI52" s="158"/>
      <c r="AJ52" s="158"/>
      <c r="AK52" s="158"/>
      <c r="AL52" s="158"/>
      <c r="AM52" s="158"/>
      <c r="AN52" s="158"/>
    </row>
    <row r="53" spans="1:40" ht="15" customHeight="1" x14ac:dyDescent="0.2">
      <c r="A53" s="155"/>
      <c r="B53" s="155" t="s">
        <v>164</v>
      </c>
      <c r="C53" s="155"/>
      <c r="D53" s="155"/>
      <c r="E53" s="155"/>
      <c r="F53" s="155"/>
      <c r="G53" s="155"/>
      <c r="H53" s="155"/>
      <c r="I53" s="155"/>
      <c r="J53" s="155"/>
      <c r="K53" s="155"/>
      <c r="L53" s="155"/>
      <c r="M53" s="155"/>
      <c r="N53" s="155"/>
      <c r="O53" s="155"/>
      <c r="P53" s="155"/>
      <c r="Q53" s="155"/>
      <c r="R53" s="155"/>
      <c r="S53" s="158"/>
      <c r="T53" s="158"/>
      <c r="U53" s="158"/>
      <c r="V53" s="158"/>
      <c r="W53" s="158"/>
      <c r="X53" s="158"/>
      <c r="Y53" s="158"/>
      <c r="Z53" s="158"/>
      <c r="AA53" s="158"/>
      <c r="AB53" s="158"/>
      <c r="AC53" s="158"/>
      <c r="AD53" s="158"/>
      <c r="AE53" s="158"/>
      <c r="AF53" s="158"/>
      <c r="AG53" s="158"/>
      <c r="AH53" s="158"/>
      <c r="AI53" s="158"/>
      <c r="AJ53" s="158"/>
      <c r="AK53" s="158"/>
      <c r="AL53" s="158"/>
      <c r="AM53" s="158"/>
      <c r="AN53" s="158"/>
    </row>
    <row r="54" spans="1:40" ht="15" customHeight="1" x14ac:dyDescent="0.2">
      <c r="A54" s="155"/>
      <c r="B54" s="155" t="s">
        <v>165</v>
      </c>
      <c r="C54" s="155"/>
      <c r="D54" s="155"/>
      <c r="E54" s="155"/>
      <c r="F54" s="155"/>
      <c r="G54" s="155"/>
      <c r="H54" s="155"/>
      <c r="I54" s="155"/>
      <c r="J54" s="155"/>
      <c r="K54" s="155"/>
      <c r="L54" s="155"/>
      <c r="M54" s="155"/>
      <c r="N54" s="155"/>
      <c r="O54" s="155"/>
      <c r="P54" s="155"/>
      <c r="Q54" s="155"/>
      <c r="R54" s="155"/>
      <c r="S54" s="158"/>
      <c r="T54" s="158"/>
      <c r="U54" s="158"/>
      <c r="V54" s="158"/>
      <c r="W54" s="158"/>
      <c r="X54" s="158"/>
      <c r="Y54" s="158"/>
      <c r="Z54" s="158"/>
      <c r="AA54" s="158"/>
      <c r="AB54" s="158"/>
      <c r="AC54" s="158"/>
      <c r="AD54" s="158"/>
      <c r="AE54" s="158"/>
      <c r="AF54" s="158"/>
      <c r="AG54" s="158"/>
      <c r="AH54" s="158"/>
      <c r="AI54" s="158"/>
      <c r="AJ54" s="158"/>
      <c r="AK54" s="158"/>
      <c r="AL54" s="158"/>
      <c r="AM54" s="158"/>
      <c r="AN54" s="158"/>
    </row>
    <row r="55" spans="1:40" ht="15" customHeight="1" x14ac:dyDescent="0.2">
      <c r="A55" s="155"/>
      <c r="B55" s="155"/>
      <c r="C55" s="155"/>
      <c r="D55" s="155"/>
      <c r="E55" s="155"/>
      <c r="F55" s="155"/>
      <c r="G55" s="155"/>
      <c r="H55" s="155"/>
      <c r="I55" s="155"/>
      <c r="J55" s="155"/>
      <c r="K55" s="155"/>
      <c r="L55" s="155"/>
      <c r="M55" s="155"/>
      <c r="N55" s="155"/>
      <c r="O55" s="155"/>
      <c r="P55" s="155"/>
      <c r="Q55" s="155"/>
      <c r="R55" s="155"/>
      <c r="S55" s="158"/>
      <c r="T55" s="158"/>
      <c r="U55" s="158"/>
      <c r="V55" s="158"/>
      <c r="W55" s="158"/>
      <c r="X55" s="158"/>
      <c r="Y55" s="158"/>
      <c r="Z55" s="158"/>
      <c r="AA55" s="158"/>
      <c r="AB55" s="158"/>
      <c r="AC55" s="158"/>
      <c r="AD55" s="158"/>
      <c r="AE55" s="158"/>
      <c r="AF55" s="158"/>
      <c r="AG55" s="158"/>
      <c r="AH55" s="158"/>
      <c r="AI55" s="158"/>
      <c r="AJ55" s="158"/>
      <c r="AK55" s="158"/>
      <c r="AL55" s="158"/>
      <c r="AM55" s="158"/>
      <c r="AN55" s="158"/>
    </row>
    <row r="56" spans="1:40" ht="15" customHeight="1" x14ac:dyDescent="0.2">
      <c r="A56" s="155"/>
      <c r="B56" s="155" t="s">
        <v>243</v>
      </c>
      <c r="C56" s="155"/>
      <c r="D56" s="155"/>
      <c r="E56" s="155"/>
      <c r="F56" s="155"/>
      <c r="G56" s="155"/>
      <c r="H56" s="155"/>
      <c r="I56" s="155"/>
      <c r="J56" s="155"/>
      <c r="K56" s="155"/>
      <c r="L56" s="155"/>
      <c r="M56" s="155"/>
      <c r="N56" s="155"/>
      <c r="O56" s="155"/>
      <c r="P56" s="155"/>
      <c r="Q56" s="155"/>
      <c r="R56" s="155"/>
    </row>
    <row r="57" spans="1:40" ht="15" customHeight="1" x14ac:dyDescent="0.2">
      <c r="A57" s="155"/>
      <c r="B57" s="155" t="s">
        <v>244</v>
      </c>
      <c r="C57" s="155"/>
      <c r="D57" s="155"/>
      <c r="E57" s="155"/>
      <c r="F57" s="155"/>
      <c r="G57" s="155"/>
      <c r="H57" s="155"/>
      <c r="I57" s="155"/>
      <c r="J57" s="155"/>
      <c r="K57" s="155"/>
      <c r="L57" s="155"/>
      <c r="M57" s="155"/>
      <c r="N57" s="155"/>
      <c r="O57" s="155"/>
      <c r="P57" s="155"/>
      <c r="Q57" s="155"/>
      <c r="R57" s="155"/>
    </row>
    <row r="58" spans="1:40" ht="15" customHeight="1" x14ac:dyDescent="0.2">
      <c r="A58" s="155"/>
      <c r="B58" s="155"/>
      <c r="C58" s="155"/>
      <c r="D58" s="155"/>
      <c r="E58" s="155"/>
      <c r="F58" s="155"/>
      <c r="G58" s="155"/>
      <c r="H58" s="155"/>
      <c r="I58" s="155"/>
      <c r="J58" s="155"/>
      <c r="K58" s="155"/>
      <c r="L58" s="155"/>
      <c r="M58" s="155"/>
      <c r="N58" s="155"/>
      <c r="O58" s="155"/>
      <c r="P58" s="155"/>
      <c r="Q58" s="155"/>
      <c r="R58" s="155"/>
    </row>
    <row r="59" spans="1:40" ht="15" customHeight="1" x14ac:dyDescent="0.25">
      <c r="A59" s="151"/>
      <c r="B59" s="165" t="s">
        <v>167</v>
      </c>
      <c r="C59" s="166"/>
      <c r="D59" s="166"/>
      <c r="E59" s="166"/>
      <c r="F59" s="166"/>
      <c r="G59" s="166"/>
      <c r="H59" s="166"/>
      <c r="I59" s="166"/>
      <c r="J59" s="166"/>
      <c r="K59" s="166"/>
      <c r="L59" s="166"/>
      <c r="M59" s="166"/>
      <c r="N59" s="166"/>
      <c r="O59" s="166"/>
      <c r="P59" s="166"/>
      <c r="Q59" s="166"/>
      <c r="R59" s="166"/>
      <c r="S59" s="154"/>
    </row>
    <row r="60" spans="1:40" ht="15" customHeight="1" x14ac:dyDescent="0.25">
      <c r="A60" s="155"/>
      <c r="B60" s="168"/>
      <c r="C60" s="168"/>
      <c r="D60" s="168"/>
      <c r="E60" s="168"/>
      <c r="F60" s="168"/>
      <c r="G60" s="168"/>
      <c r="H60" s="168"/>
      <c r="I60" s="168"/>
      <c r="J60" s="168"/>
      <c r="K60" s="168"/>
      <c r="L60" s="168"/>
      <c r="M60" s="168"/>
      <c r="N60" s="168"/>
      <c r="O60" s="168"/>
      <c r="P60" s="168"/>
      <c r="Q60" s="168"/>
      <c r="R60" s="168"/>
    </row>
    <row r="61" spans="1:40" ht="15" customHeight="1" x14ac:dyDescent="0.3">
      <c r="A61" s="155"/>
      <c r="B61" s="168" t="s">
        <v>245</v>
      </c>
      <c r="C61" s="168"/>
      <c r="D61" s="168"/>
      <c r="E61" s="168"/>
      <c r="F61" s="168"/>
      <c r="G61" s="168"/>
      <c r="H61" s="168"/>
      <c r="I61" s="168"/>
      <c r="J61" s="168"/>
      <c r="K61" s="168"/>
      <c r="L61" s="168"/>
      <c r="M61" s="168"/>
      <c r="N61" s="168"/>
      <c r="O61" s="168"/>
      <c r="P61" s="168"/>
      <c r="Q61" s="168"/>
      <c r="R61" s="168"/>
    </row>
    <row r="62" spans="1:40" ht="15" customHeight="1" x14ac:dyDescent="0.25">
      <c r="A62" s="155"/>
      <c r="B62" s="168" t="s">
        <v>246</v>
      </c>
      <c r="C62" s="168"/>
      <c r="D62" s="168"/>
      <c r="E62" s="168"/>
      <c r="F62" s="168"/>
      <c r="G62" s="168"/>
      <c r="H62" s="168"/>
      <c r="I62" s="168"/>
      <c r="J62" s="168"/>
      <c r="K62" s="168"/>
      <c r="L62" s="168"/>
      <c r="M62" s="168"/>
      <c r="N62" s="168"/>
      <c r="O62" s="168"/>
      <c r="P62" s="168"/>
      <c r="Q62" s="168"/>
      <c r="R62" s="168"/>
    </row>
    <row r="63" spans="1:40" ht="15" customHeight="1" x14ac:dyDescent="0.25">
      <c r="A63" s="155"/>
      <c r="B63" s="168" t="s">
        <v>247</v>
      </c>
      <c r="C63" s="155"/>
      <c r="D63" s="155"/>
      <c r="E63" s="155"/>
      <c r="F63" s="155"/>
      <c r="G63" s="155"/>
      <c r="H63" s="155"/>
      <c r="I63" s="155"/>
      <c r="J63" s="155"/>
      <c r="K63" s="155"/>
      <c r="L63" s="155"/>
      <c r="M63" s="155"/>
      <c r="N63" s="155"/>
      <c r="O63" s="155"/>
      <c r="P63" s="155"/>
      <c r="Q63" s="155"/>
      <c r="R63" s="155"/>
    </row>
    <row r="64" spans="1:40" ht="15" customHeight="1" x14ac:dyDescent="0.25">
      <c r="A64" s="155"/>
      <c r="B64" s="168"/>
      <c r="C64" s="155"/>
      <c r="D64" s="155"/>
      <c r="E64" s="155"/>
      <c r="F64" s="155"/>
      <c r="G64" s="155"/>
      <c r="H64" s="155"/>
      <c r="I64" s="155"/>
      <c r="J64" s="155"/>
      <c r="K64" s="155"/>
      <c r="L64" s="155"/>
      <c r="M64" s="155"/>
      <c r="N64" s="155"/>
      <c r="O64" s="155"/>
      <c r="P64" s="155"/>
      <c r="Q64" s="155"/>
      <c r="R64" s="155"/>
    </row>
    <row r="65" spans="1:19" ht="15" customHeight="1" x14ac:dyDescent="0.25">
      <c r="A65" s="151"/>
      <c r="B65" s="165" t="s">
        <v>168</v>
      </c>
      <c r="C65" s="166"/>
      <c r="D65" s="166"/>
      <c r="E65" s="166"/>
      <c r="F65" s="166"/>
      <c r="G65" s="166"/>
      <c r="H65" s="166"/>
      <c r="I65" s="166"/>
      <c r="J65" s="166"/>
      <c r="K65" s="166"/>
      <c r="L65" s="166"/>
      <c r="M65" s="166"/>
      <c r="N65" s="166"/>
      <c r="O65" s="166"/>
      <c r="P65" s="166"/>
      <c r="Q65" s="166"/>
      <c r="R65" s="166"/>
      <c r="S65" s="154"/>
    </row>
    <row r="66" spans="1:19" ht="15" customHeight="1" x14ac:dyDescent="0.25">
      <c r="A66" s="169"/>
      <c r="B66" s="168"/>
      <c r="C66" s="168"/>
      <c r="D66" s="168"/>
      <c r="E66" s="168"/>
      <c r="F66" s="168"/>
      <c r="G66" s="168"/>
      <c r="H66" s="168"/>
      <c r="I66" s="168"/>
      <c r="J66" s="168"/>
      <c r="K66" s="168"/>
      <c r="L66" s="168"/>
      <c r="M66" s="168"/>
      <c r="N66" s="168"/>
      <c r="O66" s="168"/>
      <c r="P66" s="168"/>
      <c r="Q66" s="168"/>
      <c r="R66" s="168"/>
    </row>
    <row r="67" spans="1:19" ht="15" customHeight="1" x14ac:dyDescent="0.25">
      <c r="A67" s="168"/>
      <c r="B67" s="168" t="s">
        <v>380</v>
      </c>
      <c r="C67" s="168"/>
      <c r="D67" s="168"/>
      <c r="E67" s="168"/>
      <c r="F67" s="168"/>
      <c r="G67" s="168"/>
      <c r="H67" s="168"/>
      <c r="I67" s="168"/>
      <c r="J67" s="168"/>
      <c r="K67" s="168"/>
      <c r="L67" s="168"/>
      <c r="M67" s="168"/>
      <c r="N67" s="168"/>
      <c r="O67" s="168"/>
      <c r="P67" s="168"/>
      <c r="Q67" s="168"/>
      <c r="R67" s="168"/>
    </row>
    <row r="68" spans="1:19" ht="15" customHeight="1" x14ac:dyDescent="0.25">
      <c r="A68" s="168"/>
      <c r="B68" s="168" t="s">
        <v>381</v>
      </c>
      <c r="C68" s="168"/>
      <c r="D68" s="168"/>
      <c r="E68" s="168"/>
      <c r="F68" s="168"/>
      <c r="G68" s="168"/>
      <c r="H68" s="168"/>
      <c r="I68" s="168"/>
      <c r="J68" s="168"/>
      <c r="K68" s="168"/>
      <c r="L68" s="168"/>
      <c r="M68" s="168"/>
      <c r="N68" s="168"/>
      <c r="O68" s="168"/>
      <c r="P68" s="168"/>
      <c r="Q68" s="168"/>
      <c r="R68" s="168"/>
    </row>
    <row r="69" spans="1:19" ht="15" customHeight="1" x14ac:dyDescent="0.25">
      <c r="A69" s="168"/>
      <c r="B69" s="168"/>
      <c r="C69" s="168"/>
      <c r="D69" s="168"/>
      <c r="E69" s="168"/>
      <c r="F69" s="168"/>
      <c r="G69" s="168"/>
      <c r="H69" s="168"/>
      <c r="I69" s="168"/>
      <c r="J69" s="168"/>
      <c r="K69" s="168"/>
      <c r="L69" s="168"/>
      <c r="M69" s="168"/>
      <c r="N69" s="168"/>
      <c r="O69" s="168"/>
      <c r="P69" s="168"/>
      <c r="Q69" s="168"/>
      <c r="R69" s="168"/>
    </row>
    <row r="70" spans="1:19" s="170" customFormat="1" ht="15" customHeight="1" x14ac:dyDescent="0.25">
      <c r="A70" s="151"/>
      <c r="B70" s="165" t="s">
        <v>169</v>
      </c>
      <c r="C70" s="166"/>
      <c r="D70" s="166"/>
      <c r="E70" s="166"/>
      <c r="F70" s="166"/>
      <c r="G70" s="166"/>
      <c r="H70" s="166"/>
      <c r="I70" s="166"/>
      <c r="J70" s="166"/>
      <c r="K70" s="166"/>
      <c r="L70" s="166"/>
      <c r="M70" s="166"/>
      <c r="N70" s="166"/>
      <c r="O70" s="166"/>
      <c r="P70" s="166"/>
      <c r="Q70" s="166"/>
      <c r="R70" s="166"/>
      <c r="S70" s="165"/>
    </row>
    <row r="71" spans="1:19" ht="15" customHeight="1" x14ac:dyDescent="0.25">
      <c r="A71" s="168"/>
      <c r="C71" s="155"/>
      <c r="D71" s="155"/>
      <c r="E71" s="155"/>
      <c r="F71" s="155"/>
      <c r="G71" s="155"/>
      <c r="H71" s="155"/>
      <c r="I71" s="155"/>
      <c r="J71" s="155"/>
      <c r="K71" s="155"/>
      <c r="L71" s="155"/>
      <c r="M71" s="155"/>
      <c r="N71" s="155"/>
      <c r="O71" s="155"/>
      <c r="P71" s="155"/>
      <c r="Q71" s="155"/>
      <c r="R71" s="155"/>
    </row>
    <row r="72" spans="1:19" ht="15" customHeight="1" x14ac:dyDescent="0.25">
      <c r="A72" s="169"/>
      <c r="B72" s="155" t="s">
        <v>170</v>
      </c>
      <c r="C72" s="155"/>
      <c r="D72" s="155"/>
      <c r="E72" s="155"/>
      <c r="F72" s="155"/>
      <c r="G72" s="155"/>
      <c r="H72" s="155"/>
      <c r="I72" s="155"/>
      <c r="J72" s="155"/>
      <c r="K72" s="155"/>
      <c r="L72" s="155"/>
      <c r="M72" s="155"/>
      <c r="N72" s="155"/>
      <c r="O72" s="155"/>
      <c r="P72" s="155"/>
      <c r="Q72" s="155"/>
      <c r="R72" s="155"/>
    </row>
    <row r="73" spans="1:19" ht="15" customHeight="1" x14ac:dyDescent="0.25">
      <c r="A73" s="168"/>
      <c r="B73" s="155" t="s">
        <v>171</v>
      </c>
      <c r="C73" s="155"/>
      <c r="D73" s="155"/>
      <c r="E73" s="155"/>
      <c r="F73" s="155"/>
      <c r="G73" s="155"/>
      <c r="H73" s="155"/>
      <c r="I73" s="155"/>
      <c r="J73" s="155"/>
      <c r="K73" s="155"/>
      <c r="L73" s="155"/>
      <c r="M73" s="155"/>
      <c r="N73" s="155"/>
      <c r="O73" s="155"/>
      <c r="P73" s="155"/>
      <c r="Q73" s="155"/>
      <c r="R73" s="155"/>
    </row>
    <row r="74" spans="1:19" ht="15" customHeight="1" x14ac:dyDescent="0.25">
      <c r="A74" s="168"/>
      <c r="B74" s="155" t="s">
        <v>172</v>
      </c>
      <c r="C74" s="168"/>
      <c r="D74" s="168"/>
      <c r="E74" s="168"/>
      <c r="F74" s="168"/>
      <c r="G74" s="168"/>
      <c r="H74" s="168"/>
      <c r="I74" s="168"/>
      <c r="J74" s="168"/>
      <c r="K74" s="168"/>
      <c r="L74" s="168"/>
      <c r="M74" s="168"/>
      <c r="N74" s="168"/>
      <c r="O74" s="168"/>
      <c r="P74" s="168"/>
      <c r="Q74" s="168"/>
      <c r="R74" s="168"/>
    </row>
    <row r="75" spans="1:19" ht="15" customHeight="1" x14ac:dyDescent="0.25">
      <c r="A75" s="168"/>
      <c r="B75" s="168"/>
      <c r="C75" s="155"/>
      <c r="D75" s="155"/>
      <c r="E75" s="155"/>
      <c r="F75" s="155"/>
      <c r="G75" s="155"/>
      <c r="H75" s="155"/>
      <c r="I75" s="155"/>
      <c r="J75" s="155"/>
      <c r="K75" s="155"/>
      <c r="L75" s="155"/>
      <c r="M75" s="155"/>
      <c r="N75" s="155"/>
      <c r="O75" s="155"/>
      <c r="P75" s="155"/>
      <c r="Q75" s="155"/>
      <c r="R75" s="155"/>
    </row>
    <row r="76" spans="1:19" ht="15" customHeight="1" x14ac:dyDescent="0.25">
      <c r="A76" s="168"/>
      <c r="B76" s="149"/>
      <c r="C76" s="155"/>
      <c r="D76" s="155"/>
      <c r="E76" s="155"/>
      <c r="F76" s="155"/>
      <c r="G76" s="155"/>
      <c r="H76" s="155"/>
      <c r="I76" s="155"/>
      <c r="J76" s="155"/>
      <c r="K76" s="155"/>
      <c r="L76" s="155"/>
      <c r="M76" s="155"/>
      <c r="N76" s="155"/>
      <c r="O76" s="155"/>
      <c r="P76" s="155"/>
      <c r="Q76" s="155"/>
      <c r="R76" s="155"/>
    </row>
    <row r="77" spans="1:19" ht="15" customHeight="1" x14ac:dyDescent="0.25">
      <c r="A77" s="168"/>
      <c r="B77" s="97"/>
      <c r="C77" s="155"/>
      <c r="D77" s="155"/>
      <c r="E77" s="155"/>
      <c r="F77" s="155"/>
      <c r="G77" s="376"/>
      <c r="H77" s="376"/>
      <c r="I77" s="376"/>
      <c r="J77" s="376"/>
      <c r="K77" s="376"/>
      <c r="L77" s="376"/>
      <c r="M77" s="376"/>
      <c r="N77" s="376"/>
      <c r="O77" s="155"/>
      <c r="P77" s="155"/>
      <c r="Q77" s="155"/>
      <c r="R77" s="155"/>
    </row>
    <row r="78" spans="1:19" ht="15" customHeight="1" x14ac:dyDescent="0.2">
      <c r="A78" s="155"/>
      <c r="B78" s="97"/>
      <c r="C78" s="98"/>
      <c r="D78" s="155"/>
      <c r="E78" s="155"/>
      <c r="F78" s="155"/>
      <c r="G78" s="155"/>
      <c r="H78" s="155"/>
      <c r="I78" s="155"/>
      <c r="J78" s="155"/>
      <c r="K78" s="155"/>
      <c r="L78" s="155"/>
      <c r="M78" s="155"/>
      <c r="N78" s="155"/>
      <c r="O78" s="155"/>
      <c r="P78" s="155"/>
      <c r="Q78" s="155"/>
      <c r="R78" s="155"/>
    </row>
    <row r="79" spans="1:19" ht="15" customHeight="1" x14ac:dyDescent="0.2">
      <c r="A79" s="155"/>
      <c r="B79" s="97"/>
      <c r="C79" s="155"/>
      <c r="D79" s="155"/>
      <c r="E79" s="155"/>
      <c r="F79" s="155"/>
      <c r="G79" s="155"/>
      <c r="H79" s="155"/>
      <c r="I79" s="155"/>
      <c r="J79" s="155"/>
      <c r="K79" s="155"/>
      <c r="L79" s="155"/>
      <c r="M79" s="155"/>
      <c r="N79" s="155"/>
      <c r="O79" s="155"/>
      <c r="P79" s="155"/>
      <c r="Q79" s="155"/>
      <c r="R79" s="155"/>
    </row>
    <row r="80" spans="1:19" ht="15" customHeight="1" x14ac:dyDescent="0.2">
      <c r="A80" s="155"/>
      <c r="B80" s="155"/>
      <c r="C80" s="155"/>
      <c r="D80" s="155"/>
      <c r="E80" s="155"/>
      <c r="F80" s="155"/>
      <c r="G80" s="155"/>
      <c r="H80" s="155"/>
      <c r="I80" s="155"/>
      <c r="J80" s="155"/>
      <c r="K80" s="155"/>
      <c r="L80" s="155"/>
      <c r="M80" s="155"/>
      <c r="N80" s="155"/>
      <c r="O80" s="155"/>
      <c r="P80" s="155"/>
      <c r="Q80" s="155"/>
      <c r="R80" s="155"/>
    </row>
    <row r="81" spans="1:18" ht="15" customHeight="1" x14ac:dyDescent="0.2">
      <c r="A81" s="155"/>
      <c r="B81" s="155"/>
      <c r="C81" s="155"/>
      <c r="D81" s="155"/>
      <c r="E81" s="155"/>
      <c r="F81" s="155"/>
      <c r="G81" s="155"/>
      <c r="H81" s="155"/>
      <c r="I81" s="155"/>
      <c r="J81" s="155"/>
      <c r="K81" s="155"/>
      <c r="L81" s="155"/>
      <c r="M81" s="155"/>
      <c r="N81" s="155"/>
      <c r="O81" s="155"/>
      <c r="P81" s="155"/>
      <c r="Q81" s="155"/>
      <c r="R81" s="155"/>
    </row>
    <row r="82" spans="1:18" ht="15" customHeight="1" x14ac:dyDescent="0.25">
      <c r="A82" s="168"/>
      <c r="B82" s="171"/>
      <c r="C82" s="155"/>
      <c r="D82" s="155"/>
      <c r="E82" s="155"/>
      <c r="F82" s="155"/>
      <c r="G82" s="155"/>
      <c r="H82" s="155"/>
      <c r="I82" s="155"/>
      <c r="J82" s="155"/>
      <c r="K82" s="155"/>
      <c r="L82" s="155"/>
      <c r="M82" s="155"/>
      <c r="N82" s="155"/>
      <c r="O82" s="155"/>
      <c r="P82" s="155"/>
      <c r="Q82" s="155"/>
      <c r="R82" s="155"/>
    </row>
    <row r="83" spans="1:18" ht="15" customHeight="1" x14ac:dyDescent="0.2">
      <c r="A83" s="155"/>
      <c r="B83" s="155"/>
      <c r="C83" s="155"/>
      <c r="D83" s="155"/>
      <c r="E83" s="155"/>
      <c r="F83" s="155"/>
      <c r="G83" s="155"/>
      <c r="H83" s="155"/>
      <c r="I83" s="155"/>
      <c r="J83" s="155"/>
      <c r="K83" s="155"/>
      <c r="L83" s="155"/>
      <c r="M83" s="155"/>
      <c r="N83" s="155"/>
      <c r="O83" s="155"/>
      <c r="P83" s="155"/>
      <c r="Q83" s="155"/>
      <c r="R83" s="155"/>
    </row>
    <row r="84" spans="1:18" ht="15" customHeight="1" x14ac:dyDescent="0.2">
      <c r="A84" s="155"/>
      <c r="B84" s="155"/>
      <c r="C84" s="155"/>
      <c r="D84" s="155"/>
      <c r="E84" s="155"/>
      <c r="F84" s="155"/>
      <c r="G84" s="155"/>
      <c r="H84" s="155"/>
      <c r="I84" s="155"/>
      <c r="J84" s="155"/>
      <c r="K84" s="155"/>
      <c r="L84" s="155"/>
      <c r="M84" s="155"/>
      <c r="N84" s="155"/>
      <c r="O84" s="155"/>
      <c r="P84" s="155"/>
      <c r="Q84" s="155"/>
      <c r="R84" s="155"/>
    </row>
    <row r="85" spans="1:18" ht="15" customHeight="1" x14ac:dyDescent="0.2">
      <c r="A85" s="155"/>
      <c r="B85" s="155"/>
      <c r="C85" s="155"/>
      <c r="D85" s="155"/>
      <c r="E85" s="155"/>
      <c r="F85" s="155"/>
      <c r="G85" s="155"/>
      <c r="H85" s="155"/>
      <c r="I85" s="155"/>
      <c r="J85" s="155"/>
      <c r="K85" s="155"/>
      <c r="L85" s="155"/>
      <c r="M85" s="155"/>
      <c r="N85" s="155"/>
      <c r="O85" s="155"/>
      <c r="P85" s="155"/>
      <c r="Q85" s="155"/>
      <c r="R85" s="155"/>
    </row>
    <row r="86" spans="1:18" ht="15" customHeight="1" x14ac:dyDescent="0.2">
      <c r="A86" s="155"/>
      <c r="B86" s="171"/>
      <c r="C86" s="155"/>
      <c r="D86" s="155"/>
      <c r="E86" s="155"/>
      <c r="F86" s="155"/>
      <c r="G86" s="155"/>
      <c r="H86" s="155"/>
      <c r="I86" s="155"/>
      <c r="J86" s="155"/>
      <c r="K86" s="155"/>
      <c r="L86" s="155"/>
      <c r="M86" s="155"/>
      <c r="N86" s="155"/>
      <c r="O86" s="155"/>
      <c r="P86" s="155"/>
      <c r="Q86" s="155"/>
      <c r="R86" s="155"/>
    </row>
    <row r="87" spans="1:18" ht="15" customHeight="1" x14ac:dyDescent="0.2">
      <c r="A87" s="155"/>
      <c r="B87" s="155"/>
      <c r="C87" s="155"/>
      <c r="D87" s="155"/>
      <c r="E87" s="155"/>
      <c r="F87" s="155"/>
      <c r="G87" s="155"/>
      <c r="H87" s="155"/>
      <c r="I87" s="155"/>
      <c r="J87" s="155"/>
      <c r="K87" s="155"/>
      <c r="L87" s="155"/>
      <c r="M87" s="155"/>
      <c r="N87" s="155"/>
      <c r="O87" s="155"/>
      <c r="P87" s="155"/>
      <c r="Q87" s="155"/>
      <c r="R87" s="155"/>
    </row>
    <row r="88" spans="1:18" ht="15" customHeight="1" x14ac:dyDescent="0.2">
      <c r="A88" s="155"/>
      <c r="B88" s="155"/>
      <c r="C88" s="155"/>
      <c r="D88" s="155"/>
      <c r="E88" s="155"/>
      <c r="F88" s="155"/>
      <c r="G88" s="155"/>
      <c r="H88" s="155"/>
      <c r="I88" s="155"/>
      <c r="J88" s="155"/>
      <c r="K88" s="155"/>
      <c r="L88" s="155"/>
      <c r="M88" s="155"/>
      <c r="N88" s="155"/>
      <c r="O88" s="155"/>
      <c r="P88" s="155"/>
      <c r="Q88" s="155"/>
      <c r="R88" s="155"/>
    </row>
    <row r="89" spans="1:18" ht="15" customHeight="1" x14ac:dyDescent="0.2">
      <c r="A89" s="155"/>
      <c r="B89" s="155"/>
      <c r="C89" s="155"/>
      <c r="D89" s="155"/>
      <c r="E89" s="155"/>
      <c r="F89" s="155"/>
      <c r="G89" s="155"/>
      <c r="H89" s="155"/>
      <c r="I89" s="155"/>
      <c r="J89" s="155"/>
      <c r="K89" s="155"/>
      <c r="L89" s="155"/>
      <c r="M89" s="155"/>
      <c r="N89" s="155"/>
      <c r="O89" s="155"/>
      <c r="P89" s="155"/>
      <c r="Q89" s="155"/>
      <c r="R89" s="155"/>
    </row>
    <row r="90" spans="1:18" ht="15" customHeight="1" x14ac:dyDescent="0.2">
      <c r="A90" s="155"/>
      <c r="B90" s="155"/>
      <c r="C90" s="155"/>
      <c r="D90" s="155"/>
      <c r="E90" s="155"/>
      <c r="F90" s="155"/>
      <c r="G90" s="155"/>
      <c r="H90" s="155"/>
      <c r="I90" s="155"/>
      <c r="J90" s="155"/>
      <c r="K90" s="155"/>
      <c r="L90" s="155"/>
      <c r="M90" s="155"/>
      <c r="N90" s="155"/>
      <c r="O90" s="155"/>
      <c r="P90" s="155"/>
      <c r="Q90" s="155"/>
      <c r="R90" s="155"/>
    </row>
    <row r="91" spans="1:18" ht="15" customHeight="1" x14ac:dyDescent="0.2">
      <c r="A91" s="155"/>
      <c r="B91" s="155"/>
      <c r="C91" s="155"/>
      <c r="D91" s="155"/>
      <c r="E91" s="155"/>
      <c r="F91" s="155"/>
      <c r="G91" s="155"/>
      <c r="H91" s="155"/>
      <c r="I91" s="155"/>
      <c r="J91" s="155"/>
      <c r="K91" s="155"/>
      <c r="L91" s="155"/>
      <c r="M91" s="155"/>
      <c r="N91" s="155"/>
      <c r="O91" s="155"/>
      <c r="P91" s="155"/>
      <c r="Q91" s="155"/>
      <c r="R91" s="155"/>
    </row>
    <row r="92" spans="1:18" ht="15" customHeight="1" x14ac:dyDescent="0.2">
      <c r="A92" s="155"/>
      <c r="B92" s="155"/>
      <c r="C92" s="155"/>
      <c r="D92" s="155"/>
      <c r="E92" s="155"/>
      <c r="F92" s="155"/>
      <c r="G92" s="155"/>
      <c r="H92" s="155"/>
    </row>
    <row r="93" spans="1:18" ht="15" customHeight="1" x14ac:dyDescent="0.2">
      <c r="A93" s="155"/>
      <c r="B93" s="155"/>
    </row>
    <row r="94" spans="1:18" ht="15" customHeight="1" x14ac:dyDescent="0.2">
      <c r="A94" s="155"/>
    </row>
    <row r="95" spans="1:18" ht="15" customHeight="1" x14ac:dyDescent="0.2">
      <c r="A95" s="155"/>
    </row>
    <row r="96" spans="1:18" ht="15" customHeight="1" x14ac:dyDescent="0.2">
      <c r="A96" s="155"/>
    </row>
    <row r="97" spans="1:1" ht="15" customHeight="1" x14ac:dyDescent="0.2">
      <c r="A97" s="155"/>
    </row>
    <row r="98" spans="1:1" ht="15" x14ac:dyDescent="0.2">
      <c r="A98" s="155"/>
    </row>
    <row r="99" spans="1:1" ht="15" x14ac:dyDescent="0.2">
      <c r="A99" s="155"/>
    </row>
  </sheetData>
  <sheetProtection algorithmName="SHA-512" hashValue="bN17ZMbneW7GK+bnoM7lHgBFpR5k8tPsizBjrt857gsSZizmzR8Ug2De966KrcNwG3eIKOWWgjb22atJzBRIpQ==" saltValue="0JpxKhzXFK2Cb7EX4Dus0w==" spinCount="100000" sheet="1" objects="1" scenarios="1"/>
  <mergeCells count="1">
    <mergeCell ref="G77:N77"/>
  </mergeCells>
  <pageMargins left="0.25" right="0.25" top="0.75" bottom="0.75" header="0.3" footer="0.3"/>
  <pageSetup paperSize="9" scale="6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D6676-7CE1-4AF5-844E-5BEDCEC4CDB7}">
  <dimension ref="A1:R72"/>
  <sheetViews>
    <sheetView topLeftCell="A52" zoomScaleNormal="100" workbookViewId="0">
      <selection activeCell="A69" sqref="A69"/>
    </sheetView>
  </sheetViews>
  <sheetFormatPr defaultRowHeight="15" x14ac:dyDescent="0.25"/>
  <cols>
    <col min="1" max="1" width="144.140625" customWidth="1"/>
    <col min="2" max="2" width="42.5703125" customWidth="1"/>
    <col min="3" max="3" width="57.28515625" customWidth="1"/>
    <col min="4" max="4" width="54.7109375" customWidth="1"/>
    <col min="5" max="5" width="22.42578125" customWidth="1"/>
    <col min="6" max="6" width="70.85546875" customWidth="1"/>
    <col min="7" max="7" width="20.5703125" customWidth="1"/>
    <col min="8" max="8" width="71.42578125" customWidth="1"/>
    <col min="9" max="9" width="55.85546875" customWidth="1"/>
    <col min="10" max="10" width="50" customWidth="1"/>
    <col min="11" max="11" width="40.42578125" customWidth="1"/>
    <col min="257" max="257" width="79" customWidth="1"/>
    <col min="258" max="258" width="42.5703125" customWidth="1"/>
    <col min="259" max="259" width="57.28515625" customWidth="1"/>
    <col min="260" max="260" width="54.7109375" customWidth="1"/>
    <col min="261" max="261" width="22.42578125" customWidth="1"/>
    <col min="262" max="262" width="70.85546875" customWidth="1"/>
    <col min="263" max="263" width="20.5703125" customWidth="1"/>
    <col min="264" max="264" width="71.42578125" customWidth="1"/>
    <col min="265" max="265" width="55.85546875" customWidth="1"/>
    <col min="266" max="266" width="50" customWidth="1"/>
    <col min="267" max="267" width="40.42578125" customWidth="1"/>
    <col min="513" max="513" width="79" customWidth="1"/>
    <col min="514" max="514" width="42.5703125" customWidth="1"/>
    <col min="515" max="515" width="57.28515625" customWidth="1"/>
    <col min="516" max="516" width="54.7109375" customWidth="1"/>
    <col min="517" max="517" width="22.42578125" customWidth="1"/>
    <col min="518" max="518" width="70.85546875" customWidth="1"/>
    <col min="519" max="519" width="20.5703125" customWidth="1"/>
    <col min="520" max="520" width="71.42578125" customWidth="1"/>
    <col min="521" max="521" width="55.85546875" customWidth="1"/>
    <col min="522" max="522" width="50" customWidth="1"/>
    <col min="523" max="523" width="40.42578125" customWidth="1"/>
    <col min="769" max="769" width="79" customWidth="1"/>
    <col min="770" max="770" width="42.5703125" customWidth="1"/>
    <col min="771" max="771" width="57.28515625" customWidth="1"/>
    <col min="772" max="772" width="54.7109375" customWidth="1"/>
    <col min="773" max="773" width="22.42578125" customWidth="1"/>
    <col min="774" max="774" width="70.85546875" customWidth="1"/>
    <col min="775" max="775" width="20.5703125" customWidth="1"/>
    <col min="776" max="776" width="71.42578125" customWidth="1"/>
    <col min="777" max="777" width="55.85546875" customWidth="1"/>
    <col min="778" max="778" width="50" customWidth="1"/>
    <col min="779" max="779" width="40.42578125" customWidth="1"/>
    <col min="1025" max="1025" width="79" customWidth="1"/>
    <col min="1026" max="1026" width="42.5703125" customWidth="1"/>
    <col min="1027" max="1027" width="57.28515625" customWidth="1"/>
    <col min="1028" max="1028" width="54.7109375" customWidth="1"/>
    <col min="1029" max="1029" width="22.42578125" customWidth="1"/>
    <col min="1030" max="1030" width="70.85546875" customWidth="1"/>
    <col min="1031" max="1031" width="20.5703125" customWidth="1"/>
    <col min="1032" max="1032" width="71.42578125" customWidth="1"/>
    <col min="1033" max="1033" width="55.85546875" customWidth="1"/>
    <col min="1034" max="1034" width="50" customWidth="1"/>
    <col min="1035" max="1035" width="40.42578125" customWidth="1"/>
    <col min="1281" max="1281" width="79" customWidth="1"/>
    <col min="1282" max="1282" width="42.5703125" customWidth="1"/>
    <col min="1283" max="1283" width="57.28515625" customWidth="1"/>
    <col min="1284" max="1284" width="54.7109375" customWidth="1"/>
    <col min="1285" max="1285" width="22.42578125" customWidth="1"/>
    <col min="1286" max="1286" width="70.85546875" customWidth="1"/>
    <col min="1287" max="1287" width="20.5703125" customWidth="1"/>
    <col min="1288" max="1288" width="71.42578125" customWidth="1"/>
    <col min="1289" max="1289" width="55.85546875" customWidth="1"/>
    <col min="1290" max="1290" width="50" customWidth="1"/>
    <col min="1291" max="1291" width="40.42578125" customWidth="1"/>
    <col min="1537" max="1537" width="79" customWidth="1"/>
    <col min="1538" max="1538" width="42.5703125" customWidth="1"/>
    <col min="1539" max="1539" width="57.28515625" customWidth="1"/>
    <col min="1540" max="1540" width="54.7109375" customWidth="1"/>
    <col min="1541" max="1541" width="22.42578125" customWidth="1"/>
    <col min="1542" max="1542" width="70.85546875" customWidth="1"/>
    <col min="1543" max="1543" width="20.5703125" customWidth="1"/>
    <col min="1544" max="1544" width="71.42578125" customWidth="1"/>
    <col min="1545" max="1545" width="55.85546875" customWidth="1"/>
    <col min="1546" max="1546" width="50" customWidth="1"/>
    <col min="1547" max="1547" width="40.42578125" customWidth="1"/>
    <col min="1793" max="1793" width="79" customWidth="1"/>
    <col min="1794" max="1794" width="42.5703125" customWidth="1"/>
    <col min="1795" max="1795" width="57.28515625" customWidth="1"/>
    <col min="1796" max="1796" width="54.7109375" customWidth="1"/>
    <col min="1797" max="1797" width="22.42578125" customWidth="1"/>
    <col min="1798" max="1798" width="70.85546875" customWidth="1"/>
    <col min="1799" max="1799" width="20.5703125" customWidth="1"/>
    <col min="1800" max="1800" width="71.42578125" customWidth="1"/>
    <col min="1801" max="1801" width="55.85546875" customWidth="1"/>
    <col min="1802" max="1802" width="50" customWidth="1"/>
    <col min="1803" max="1803" width="40.42578125" customWidth="1"/>
    <col min="2049" max="2049" width="79" customWidth="1"/>
    <col min="2050" max="2050" width="42.5703125" customWidth="1"/>
    <col min="2051" max="2051" width="57.28515625" customWidth="1"/>
    <col min="2052" max="2052" width="54.7109375" customWidth="1"/>
    <col min="2053" max="2053" width="22.42578125" customWidth="1"/>
    <col min="2054" max="2054" width="70.85546875" customWidth="1"/>
    <col min="2055" max="2055" width="20.5703125" customWidth="1"/>
    <col min="2056" max="2056" width="71.42578125" customWidth="1"/>
    <col min="2057" max="2057" width="55.85546875" customWidth="1"/>
    <col min="2058" max="2058" width="50" customWidth="1"/>
    <col min="2059" max="2059" width="40.42578125" customWidth="1"/>
    <col min="2305" max="2305" width="79" customWidth="1"/>
    <col min="2306" max="2306" width="42.5703125" customWidth="1"/>
    <col min="2307" max="2307" width="57.28515625" customWidth="1"/>
    <col min="2308" max="2308" width="54.7109375" customWidth="1"/>
    <col min="2309" max="2309" width="22.42578125" customWidth="1"/>
    <col min="2310" max="2310" width="70.85546875" customWidth="1"/>
    <col min="2311" max="2311" width="20.5703125" customWidth="1"/>
    <col min="2312" max="2312" width="71.42578125" customWidth="1"/>
    <col min="2313" max="2313" width="55.85546875" customWidth="1"/>
    <col min="2314" max="2314" width="50" customWidth="1"/>
    <col min="2315" max="2315" width="40.42578125" customWidth="1"/>
    <col min="2561" max="2561" width="79" customWidth="1"/>
    <col min="2562" max="2562" width="42.5703125" customWidth="1"/>
    <col min="2563" max="2563" width="57.28515625" customWidth="1"/>
    <col min="2564" max="2564" width="54.7109375" customWidth="1"/>
    <col min="2565" max="2565" width="22.42578125" customWidth="1"/>
    <col min="2566" max="2566" width="70.85546875" customWidth="1"/>
    <col min="2567" max="2567" width="20.5703125" customWidth="1"/>
    <col min="2568" max="2568" width="71.42578125" customWidth="1"/>
    <col min="2569" max="2569" width="55.85546875" customWidth="1"/>
    <col min="2570" max="2570" width="50" customWidth="1"/>
    <col min="2571" max="2571" width="40.42578125" customWidth="1"/>
    <col min="2817" max="2817" width="79" customWidth="1"/>
    <col min="2818" max="2818" width="42.5703125" customWidth="1"/>
    <col min="2819" max="2819" width="57.28515625" customWidth="1"/>
    <col min="2820" max="2820" width="54.7109375" customWidth="1"/>
    <col min="2821" max="2821" width="22.42578125" customWidth="1"/>
    <col min="2822" max="2822" width="70.85546875" customWidth="1"/>
    <col min="2823" max="2823" width="20.5703125" customWidth="1"/>
    <col min="2824" max="2824" width="71.42578125" customWidth="1"/>
    <col min="2825" max="2825" width="55.85546875" customWidth="1"/>
    <col min="2826" max="2826" width="50" customWidth="1"/>
    <col min="2827" max="2827" width="40.42578125" customWidth="1"/>
    <col min="3073" max="3073" width="79" customWidth="1"/>
    <col min="3074" max="3074" width="42.5703125" customWidth="1"/>
    <col min="3075" max="3075" width="57.28515625" customWidth="1"/>
    <col min="3076" max="3076" width="54.7109375" customWidth="1"/>
    <col min="3077" max="3077" width="22.42578125" customWidth="1"/>
    <col min="3078" max="3078" width="70.85546875" customWidth="1"/>
    <col min="3079" max="3079" width="20.5703125" customWidth="1"/>
    <col min="3080" max="3080" width="71.42578125" customWidth="1"/>
    <col min="3081" max="3081" width="55.85546875" customWidth="1"/>
    <col min="3082" max="3082" width="50" customWidth="1"/>
    <col min="3083" max="3083" width="40.42578125" customWidth="1"/>
    <col min="3329" max="3329" width="79" customWidth="1"/>
    <col min="3330" max="3330" width="42.5703125" customWidth="1"/>
    <col min="3331" max="3331" width="57.28515625" customWidth="1"/>
    <col min="3332" max="3332" width="54.7109375" customWidth="1"/>
    <col min="3333" max="3333" width="22.42578125" customWidth="1"/>
    <col min="3334" max="3334" width="70.85546875" customWidth="1"/>
    <col min="3335" max="3335" width="20.5703125" customWidth="1"/>
    <col min="3336" max="3336" width="71.42578125" customWidth="1"/>
    <col min="3337" max="3337" width="55.85546875" customWidth="1"/>
    <col min="3338" max="3338" width="50" customWidth="1"/>
    <col min="3339" max="3339" width="40.42578125" customWidth="1"/>
    <col min="3585" max="3585" width="79" customWidth="1"/>
    <col min="3586" max="3586" width="42.5703125" customWidth="1"/>
    <col min="3587" max="3587" width="57.28515625" customWidth="1"/>
    <col min="3588" max="3588" width="54.7109375" customWidth="1"/>
    <col min="3589" max="3589" width="22.42578125" customWidth="1"/>
    <col min="3590" max="3590" width="70.85546875" customWidth="1"/>
    <col min="3591" max="3591" width="20.5703125" customWidth="1"/>
    <col min="3592" max="3592" width="71.42578125" customWidth="1"/>
    <col min="3593" max="3593" width="55.85546875" customWidth="1"/>
    <col min="3594" max="3594" width="50" customWidth="1"/>
    <col min="3595" max="3595" width="40.42578125" customWidth="1"/>
    <col min="3841" max="3841" width="79" customWidth="1"/>
    <col min="3842" max="3842" width="42.5703125" customWidth="1"/>
    <col min="3843" max="3843" width="57.28515625" customWidth="1"/>
    <col min="3844" max="3844" width="54.7109375" customWidth="1"/>
    <col min="3845" max="3845" width="22.42578125" customWidth="1"/>
    <col min="3846" max="3846" width="70.85546875" customWidth="1"/>
    <col min="3847" max="3847" width="20.5703125" customWidth="1"/>
    <col min="3848" max="3848" width="71.42578125" customWidth="1"/>
    <col min="3849" max="3849" width="55.85546875" customWidth="1"/>
    <col min="3850" max="3850" width="50" customWidth="1"/>
    <col min="3851" max="3851" width="40.42578125" customWidth="1"/>
    <col min="4097" max="4097" width="79" customWidth="1"/>
    <col min="4098" max="4098" width="42.5703125" customWidth="1"/>
    <col min="4099" max="4099" width="57.28515625" customWidth="1"/>
    <col min="4100" max="4100" width="54.7109375" customWidth="1"/>
    <col min="4101" max="4101" width="22.42578125" customWidth="1"/>
    <col min="4102" max="4102" width="70.85546875" customWidth="1"/>
    <col min="4103" max="4103" width="20.5703125" customWidth="1"/>
    <col min="4104" max="4104" width="71.42578125" customWidth="1"/>
    <col min="4105" max="4105" width="55.85546875" customWidth="1"/>
    <col min="4106" max="4106" width="50" customWidth="1"/>
    <col min="4107" max="4107" width="40.42578125" customWidth="1"/>
    <col min="4353" max="4353" width="79" customWidth="1"/>
    <col min="4354" max="4354" width="42.5703125" customWidth="1"/>
    <col min="4355" max="4355" width="57.28515625" customWidth="1"/>
    <col min="4356" max="4356" width="54.7109375" customWidth="1"/>
    <col min="4357" max="4357" width="22.42578125" customWidth="1"/>
    <col min="4358" max="4358" width="70.85546875" customWidth="1"/>
    <col min="4359" max="4359" width="20.5703125" customWidth="1"/>
    <col min="4360" max="4360" width="71.42578125" customWidth="1"/>
    <col min="4361" max="4361" width="55.85546875" customWidth="1"/>
    <col min="4362" max="4362" width="50" customWidth="1"/>
    <col min="4363" max="4363" width="40.42578125" customWidth="1"/>
    <col min="4609" max="4609" width="79" customWidth="1"/>
    <col min="4610" max="4610" width="42.5703125" customWidth="1"/>
    <col min="4611" max="4611" width="57.28515625" customWidth="1"/>
    <col min="4612" max="4612" width="54.7109375" customWidth="1"/>
    <col min="4613" max="4613" width="22.42578125" customWidth="1"/>
    <col min="4614" max="4614" width="70.85546875" customWidth="1"/>
    <col min="4615" max="4615" width="20.5703125" customWidth="1"/>
    <col min="4616" max="4616" width="71.42578125" customWidth="1"/>
    <col min="4617" max="4617" width="55.85546875" customWidth="1"/>
    <col min="4618" max="4618" width="50" customWidth="1"/>
    <col min="4619" max="4619" width="40.42578125" customWidth="1"/>
    <col min="4865" max="4865" width="79" customWidth="1"/>
    <col min="4866" max="4866" width="42.5703125" customWidth="1"/>
    <col min="4867" max="4867" width="57.28515625" customWidth="1"/>
    <col min="4868" max="4868" width="54.7109375" customWidth="1"/>
    <col min="4869" max="4869" width="22.42578125" customWidth="1"/>
    <col min="4870" max="4870" width="70.85546875" customWidth="1"/>
    <col min="4871" max="4871" width="20.5703125" customWidth="1"/>
    <col min="4872" max="4872" width="71.42578125" customWidth="1"/>
    <col min="4873" max="4873" width="55.85546875" customWidth="1"/>
    <col min="4874" max="4874" width="50" customWidth="1"/>
    <col min="4875" max="4875" width="40.42578125" customWidth="1"/>
    <col min="5121" max="5121" width="79" customWidth="1"/>
    <col min="5122" max="5122" width="42.5703125" customWidth="1"/>
    <col min="5123" max="5123" width="57.28515625" customWidth="1"/>
    <col min="5124" max="5124" width="54.7109375" customWidth="1"/>
    <col min="5125" max="5125" width="22.42578125" customWidth="1"/>
    <col min="5126" max="5126" width="70.85546875" customWidth="1"/>
    <col min="5127" max="5127" width="20.5703125" customWidth="1"/>
    <col min="5128" max="5128" width="71.42578125" customWidth="1"/>
    <col min="5129" max="5129" width="55.85546875" customWidth="1"/>
    <col min="5130" max="5130" width="50" customWidth="1"/>
    <col min="5131" max="5131" width="40.42578125" customWidth="1"/>
    <col min="5377" max="5377" width="79" customWidth="1"/>
    <col min="5378" max="5378" width="42.5703125" customWidth="1"/>
    <col min="5379" max="5379" width="57.28515625" customWidth="1"/>
    <col min="5380" max="5380" width="54.7109375" customWidth="1"/>
    <col min="5381" max="5381" width="22.42578125" customWidth="1"/>
    <col min="5382" max="5382" width="70.85546875" customWidth="1"/>
    <col min="5383" max="5383" width="20.5703125" customWidth="1"/>
    <col min="5384" max="5384" width="71.42578125" customWidth="1"/>
    <col min="5385" max="5385" width="55.85546875" customWidth="1"/>
    <col min="5386" max="5386" width="50" customWidth="1"/>
    <col min="5387" max="5387" width="40.42578125" customWidth="1"/>
    <col min="5633" max="5633" width="79" customWidth="1"/>
    <col min="5634" max="5634" width="42.5703125" customWidth="1"/>
    <col min="5635" max="5635" width="57.28515625" customWidth="1"/>
    <col min="5636" max="5636" width="54.7109375" customWidth="1"/>
    <col min="5637" max="5637" width="22.42578125" customWidth="1"/>
    <col min="5638" max="5638" width="70.85546875" customWidth="1"/>
    <col min="5639" max="5639" width="20.5703125" customWidth="1"/>
    <col min="5640" max="5640" width="71.42578125" customWidth="1"/>
    <col min="5641" max="5641" width="55.85546875" customWidth="1"/>
    <col min="5642" max="5642" width="50" customWidth="1"/>
    <col min="5643" max="5643" width="40.42578125" customWidth="1"/>
    <col min="5889" max="5889" width="79" customWidth="1"/>
    <col min="5890" max="5890" width="42.5703125" customWidth="1"/>
    <col min="5891" max="5891" width="57.28515625" customWidth="1"/>
    <col min="5892" max="5892" width="54.7109375" customWidth="1"/>
    <col min="5893" max="5893" width="22.42578125" customWidth="1"/>
    <col min="5894" max="5894" width="70.85546875" customWidth="1"/>
    <col min="5895" max="5895" width="20.5703125" customWidth="1"/>
    <col min="5896" max="5896" width="71.42578125" customWidth="1"/>
    <col min="5897" max="5897" width="55.85546875" customWidth="1"/>
    <col min="5898" max="5898" width="50" customWidth="1"/>
    <col min="5899" max="5899" width="40.42578125" customWidth="1"/>
    <col min="6145" max="6145" width="79" customWidth="1"/>
    <col min="6146" max="6146" width="42.5703125" customWidth="1"/>
    <col min="6147" max="6147" width="57.28515625" customWidth="1"/>
    <col min="6148" max="6148" width="54.7109375" customWidth="1"/>
    <col min="6149" max="6149" width="22.42578125" customWidth="1"/>
    <col min="6150" max="6150" width="70.85546875" customWidth="1"/>
    <col min="6151" max="6151" width="20.5703125" customWidth="1"/>
    <col min="6152" max="6152" width="71.42578125" customWidth="1"/>
    <col min="6153" max="6153" width="55.85546875" customWidth="1"/>
    <col min="6154" max="6154" width="50" customWidth="1"/>
    <col min="6155" max="6155" width="40.42578125" customWidth="1"/>
    <col min="6401" max="6401" width="79" customWidth="1"/>
    <col min="6402" max="6402" width="42.5703125" customWidth="1"/>
    <col min="6403" max="6403" width="57.28515625" customWidth="1"/>
    <col min="6404" max="6404" width="54.7109375" customWidth="1"/>
    <col min="6405" max="6405" width="22.42578125" customWidth="1"/>
    <col min="6406" max="6406" width="70.85546875" customWidth="1"/>
    <col min="6407" max="6407" width="20.5703125" customWidth="1"/>
    <col min="6408" max="6408" width="71.42578125" customWidth="1"/>
    <col min="6409" max="6409" width="55.85546875" customWidth="1"/>
    <col min="6410" max="6410" width="50" customWidth="1"/>
    <col min="6411" max="6411" width="40.42578125" customWidth="1"/>
    <col min="6657" max="6657" width="79" customWidth="1"/>
    <col min="6658" max="6658" width="42.5703125" customWidth="1"/>
    <col min="6659" max="6659" width="57.28515625" customWidth="1"/>
    <col min="6660" max="6660" width="54.7109375" customWidth="1"/>
    <col min="6661" max="6661" width="22.42578125" customWidth="1"/>
    <col min="6662" max="6662" width="70.85546875" customWidth="1"/>
    <col min="6663" max="6663" width="20.5703125" customWidth="1"/>
    <col min="6664" max="6664" width="71.42578125" customWidth="1"/>
    <col min="6665" max="6665" width="55.85546875" customWidth="1"/>
    <col min="6666" max="6666" width="50" customWidth="1"/>
    <col min="6667" max="6667" width="40.42578125" customWidth="1"/>
    <col min="6913" max="6913" width="79" customWidth="1"/>
    <col min="6914" max="6914" width="42.5703125" customWidth="1"/>
    <col min="6915" max="6915" width="57.28515625" customWidth="1"/>
    <col min="6916" max="6916" width="54.7109375" customWidth="1"/>
    <col min="6917" max="6917" width="22.42578125" customWidth="1"/>
    <col min="6918" max="6918" width="70.85546875" customWidth="1"/>
    <col min="6919" max="6919" width="20.5703125" customWidth="1"/>
    <col min="6920" max="6920" width="71.42578125" customWidth="1"/>
    <col min="6921" max="6921" width="55.85546875" customWidth="1"/>
    <col min="6922" max="6922" width="50" customWidth="1"/>
    <col min="6923" max="6923" width="40.42578125" customWidth="1"/>
    <col min="7169" max="7169" width="79" customWidth="1"/>
    <col min="7170" max="7170" width="42.5703125" customWidth="1"/>
    <col min="7171" max="7171" width="57.28515625" customWidth="1"/>
    <col min="7172" max="7172" width="54.7109375" customWidth="1"/>
    <col min="7173" max="7173" width="22.42578125" customWidth="1"/>
    <col min="7174" max="7174" width="70.85546875" customWidth="1"/>
    <col min="7175" max="7175" width="20.5703125" customWidth="1"/>
    <col min="7176" max="7176" width="71.42578125" customWidth="1"/>
    <col min="7177" max="7177" width="55.85546875" customWidth="1"/>
    <col min="7178" max="7178" width="50" customWidth="1"/>
    <col min="7179" max="7179" width="40.42578125" customWidth="1"/>
    <col min="7425" max="7425" width="79" customWidth="1"/>
    <col min="7426" max="7426" width="42.5703125" customWidth="1"/>
    <col min="7427" max="7427" width="57.28515625" customWidth="1"/>
    <col min="7428" max="7428" width="54.7109375" customWidth="1"/>
    <col min="7429" max="7429" width="22.42578125" customWidth="1"/>
    <col min="7430" max="7430" width="70.85546875" customWidth="1"/>
    <col min="7431" max="7431" width="20.5703125" customWidth="1"/>
    <col min="7432" max="7432" width="71.42578125" customWidth="1"/>
    <col min="7433" max="7433" width="55.85546875" customWidth="1"/>
    <col min="7434" max="7434" width="50" customWidth="1"/>
    <col min="7435" max="7435" width="40.42578125" customWidth="1"/>
    <col min="7681" max="7681" width="79" customWidth="1"/>
    <col min="7682" max="7682" width="42.5703125" customWidth="1"/>
    <col min="7683" max="7683" width="57.28515625" customWidth="1"/>
    <col min="7684" max="7684" width="54.7109375" customWidth="1"/>
    <col min="7685" max="7685" width="22.42578125" customWidth="1"/>
    <col min="7686" max="7686" width="70.85546875" customWidth="1"/>
    <col min="7687" max="7687" width="20.5703125" customWidth="1"/>
    <col min="7688" max="7688" width="71.42578125" customWidth="1"/>
    <col min="7689" max="7689" width="55.85546875" customWidth="1"/>
    <col min="7690" max="7690" width="50" customWidth="1"/>
    <col min="7691" max="7691" width="40.42578125" customWidth="1"/>
    <col min="7937" max="7937" width="79" customWidth="1"/>
    <col min="7938" max="7938" width="42.5703125" customWidth="1"/>
    <col min="7939" max="7939" width="57.28515625" customWidth="1"/>
    <col min="7940" max="7940" width="54.7109375" customWidth="1"/>
    <col min="7941" max="7941" width="22.42578125" customWidth="1"/>
    <col min="7942" max="7942" width="70.85546875" customWidth="1"/>
    <col min="7943" max="7943" width="20.5703125" customWidth="1"/>
    <col min="7944" max="7944" width="71.42578125" customWidth="1"/>
    <col min="7945" max="7945" width="55.85546875" customWidth="1"/>
    <col min="7946" max="7946" width="50" customWidth="1"/>
    <col min="7947" max="7947" width="40.42578125" customWidth="1"/>
    <col min="8193" max="8193" width="79" customWidth="1"/>
    <col min="8194" max="8194" width="42.5703125" customWidth="1"/>
    <col min="8195" max="8195" width="57.28515625" customWidth="1"/>
    <col min="8196" max="8196" width="54.7109375" customWidth="1"/>
    <col min="8197" max="8197" width="22.42578125" customWidth="1"/>
    <col min="8198" max="8198" width="70.85546875" customWidth="1"/>
    <col min="8199" max="8199" width="20.5703125" customWidth="1"/>
    <col min="8200" max="8200" width="71.42578125" customWidth="1"/>
    <col min="8201" max="8201" width="55.85546875" customWidth="1"/>
    <col min="8202" max="8202" width="50" customWidth="1"/>
    <col min="8203" max="8203" width="40.42578125" customWidth="1"/>
    <col min="8449" max="8449" width="79" customWidth="1"/>
    <col min="8450" max="8450" width="42.5703125" customWidth="1"/>
    <col min="8451" max="8451" width="57.28515625" customWidth="1"/>
    <col min="8452" max="8452" width="54.7109375" customWidth="1"/>
    <col min="8453" max="8453" width="22.42578125" customWidth="1"/>
    <col min="8454" max="8454" width="70.85546875" customWidth="1"/>
    <col min="8455" max="8455" width="20.5703125" customWidth="1"/>
    <col min="8456" max="8456" width="71.42578125" customWidth="1"/>
    <col min="8457" max="8457" width="55.85546875" customWidth="1"/>
    <col min="8458" max="8458" width="50" customWidth="1"/>
    <col min="8459" max="8459" width="40.42578125" customWidth="1"/>
    <col min="8705" max="8705" width="79" customWidth="1"/>
    <col min="8706" max="8706" width="42.5703125" customWidth="1"/>
    <col min="8707" max="8707" width="57.28515625" customWidth="1"/>
    <col min="8708" max="8708" width="54.7109375" customWidth="1"/>
    <col min="8709" max="8709" width="22.42578125" customWidth="1"/>
    <col min="8710" max="8710" width="70.85546875" customWidth="1"/>
    <col min="8711" max="8711" width="20.5703125" customWidth="1"/>
    <col min="8712" max="8712" width="71.42578125" customWidth="1"/>
    <col min="8713" max="8713" width="55.85546875" customWidth="1"/>
    <col min="8714" max="8714" width="50" customWidth="1"/>
    <col min="8715" max="8715" width="40.42578125" customWidth="1"/>
    <col min="8961" max="8961" width="79" customWidth="1"/>
    <col min="8962" max="8962" width="42.5703125" customWidth="1"/>
    <col min="8963" max="8963" width="57.28515625" customWidth="1"/>
    <col min="8964" max="8964" width="54.7109375" customWidth="1"/>
    <col min="8965" max="8965" width="22.42578125" customWidth="1"/>
    <col min="8966" max="8966" width="70.85546875" customWidth="1"/>
    <col min="8967" max="8967" width="20.5703125" customWidth="1"/>
    <col min="8968" max="8968" width="71.42578125" customWidth="1"/>
    <col min="8969" max="8969" width="55.85546875" customWidth="1"/>
    <col min="8970" max="8970" width="50" customWidth="1"/>
    <col min="8971" max="8971" width="40.42578125" customWidth="1"/>
    <col min="9217" max="9217" width="79" customWidth="1"/>
    <col min="9218" max="9218" width="42.5703125" customWidth="1"/>
    <col min="9219" max="9219" width="57.28515625" customWidth="1"/>
    <col min="9220" max="9220" width="54.7109375" customWidth="1"/>
    <col min="9221" max="9221" width="22.42578125" customWidth="1"/>
    <col min="9222" max="9222" width="70.85546875" customWidth="1"/>
    <col min="9223" max="9223" width="20.5703125" customWidth="1"/>
    <col min="9224" max="9224" width="71.42578125" customWidth="1"/>
    <col min="9225" max="9225" width="55.85546875" customWidth="1"/>
    <col min="9226" max="9226" width="50" customWidth="1"/>
    <col min="9227" max="9227" width="40.42578125" customWidth="1"/>
    <col min="9473" max="9473" width="79" customWidth="1"/>
    <col min="9474" max="9474" width="42.5703125" customWidth="1"/>
    <col min="9475" max="9475" width="57.28515625" customWidth="1"/>
    <col min="9476" max="9476" width="54.7109375" customWidth="1"/>
    <col min="9477" max="9477" width="22.42578125" customWidth="1"/>
    <col min="9478" max="9478" width="70.85546875" customWidth="1"/>
    <col min="9479" max="9479" width="20.5703125" customWidth="1"/>
    <col min="9480" max="9480" width="71.42578125" customWidth="1"/>
    <col min="9481" max="9481" width="55.85546875" customWidth="1"/>
    <col min="9482" max="9482" width="50" customWidth="1"/>
    <col min="9483" max="9483" width="40.42578125" customWidth="1"/>
    <col min="9729" max="9729" width="79" customWidth="1"/>
    <col min="9730" max="9730" width="42.5703125" customWidth="1"/>
    <col min="9731" max="9731" width="57.28515625" customWidth="1"/>
    <col min="9732" max="9732" width="54.7109375" customWidth="1"/>
    <col min="9733" max="9733" width="22.42578125" customWidth="1"/>
    <col min="9734" max="9734" width="70.85546875" customWidth="1"/>
    <col min="9735" max="9735" width="20.5703125" customWidth="1"/>
    <col min="9736" max="9736" width="71.42578125" customWidth="1"/>
    <col min="9737" max="9737" width="55.85546875" customWidth="1"/>
    <col min="9738" max="9738" width="50" customWidth="1"/>
    <col min="9739" max="9739" width="40.42578125" customWidth="1"/>
    <col min="9985" max="9985" width="79" customWidth="1"/>
    <col min="9986" max="9986" width="42.5703125" customWidth="1"/>
    <col min="9987" max="9987" width="57.28515625" customWidth="1"/>
    <col min="9988" max="9988" width="54.7109375" customWidth="1"/>
    <col min="9989" max="9989" width="22.42578125" customWidth="1"/>
    <col min="9990" max="9990" width="70.85546875" customWidth="1"/>
    <col min="9991" max="9991" width="20.5703125" customWidth="1"/>
    <col min="9992" max="9992" width="71.42578125" customWidth="1"/>
    <col min="9993" max="9993" width="55.85546875" customWidth="1"/>
    <col min="9994" max="9994" width="50" customWidth="1"/>
    <col min="9995" max="9995" width="40.42578125" customWidth="1"/>
    <col min="10241" max="10241" width="79" customWidth="1"/>
    <col min="10242" max="10242" width="42.5703125" customWidth="1"/>
    <col min="10243" max="10243" width="57.28515625" customWidth="1"/>
    <col min="10244" max="10244" width="54.7109375" customWidth="1"/>
    <col min="10245" max="10245" width="22.42578125" customWidth="1"/>
    <col min="10246" max="10246" width="70.85546875" customWidth="1"/>
    <col min="10247" max="10247" width="20.5703125" customWidth="1"/>
    <col min="10248" max="10248" width="71.42578125" customWidth="1"/>
    <col min="10249" max="10249" width="55.85546875" customWidth="1"/>
    <col min="10250" max="10250" width="50" customWidth="1"/>
    <col min="10251" max="10251" width="40.42578125" customWidth="1"/>
    <col min="10497" max="10497" width="79" customWidth="1"/>
    <col min="10498" max="10498" width="42.5703125" customWidth="1"/>
    <col min="10499" max="10499" width="57.28515625" customWidth="1"/>
    <col min="10500" max="10500" width="54.7109375" customWidth="1"/>
    <col min="10501" max="10501" width="22.42578125" customWidth="1"/>
    <col min="10502" max="10502" width="70.85546875" customWidth="1"/>
    <col min="10503" max="10503" width="20.5703125" customWidth="1"/>
    <col min="10504" max="10504" width="71.42578125" customWidth="1"/>
    <col min="10505" max="10505" width="55.85546875" customWidth="1"/>
    <col min="10506" max="10506" width="50" customWidth="1"/>
    <col min="10507" max="10507" width="40.42578125" customWidth="1"/>
    <col min="10753" max="10753" width="79" customWidth="1"/>
    <col min="10754" max="10754" width="42.5703125" customWidth="1"/>
    <col min="10755" max="10755" width="57.28515625" customWidth="1"/>
    <col min="10756" max="10756" width="54.7109375" customWidth="1"/>
    <col min="10757" max="10757" width="22.42578125" customWidth="1"/>
    <col min="10758" max="10758" width="70.85546875" customWidth="1"/>
    <col min="10759" max="10759" width="20.5703125" customWidth="1"/>
    <col min="10760" max="10760" width="71.42578125" customWidth="1"/>
    <col min="10761" max="10761" width="55.85546875" customWidth="1"/>
    <col min="10762" max="10762" width="50" customWidth="1"/>
    <col min="10763" max="10763" width="40.42578125" customWidth="1"/>
    <col min="11009" max="11009" width="79" customWidth="1"/>
    <col min="11010" max="11010" width="42.5703125" customWidth="1"/>
    <col min="11011" max="11011" width="57.28515625" customWidth="1"/>
    <col min="11012" max="11012" width="54.7109375" customWidth="1"/>
    <col min="11013" max="11013" width="22.42578125" customWidth="1"/>
    <col min="11014" max="11014" width="70.85546875" customWidth="1"/>
    <col min="11015" max="11015" width="20.5703125" customWidth="1"/>
    <col min="11016" max="11016" width="71.42578125" customWidth="1"/>
    <col min="11017" max="11017" width="55.85546875" customWidth="1"/>
    <col min="11018" max="11018" width="50" customWidth="1"/>
    <col min="11019" max="11019" width="40.42578125" customWidth="1"/>
    <col min="11265" max="11265" width="79" customWidth="1"/>
    <col min="11266" max="11266" width="42.5703125" customWidth="1"/>
    <col min="11267" max="11267" width="57.28515625" customWidth="1"/>
    <col min="11268" max="11268" width="54.7109375" customWidth="1"/>
    <col min="11269" max="11269" width="22.42578125" customWidth="1"/>
    <col min="11270" max="11270" width="70.85546875" customWidth="1"/>
    <col min="11271" max="11271" width="20.5703125" customWidth="1"/>
    <col min="11272" max="11272" width="71.42578125" customWidth="1"/>
    <col min="11273" max="11273" width="55.85546875" customWidth="1"/>
    <col min="11274" max="11274" width="50" customWidth="1"/>
    <col min="11275" max="11275" width="40.42578125" customWidth="1"/>
    <col min="11521" max="11521" width="79" customWidth="1"/>
    <col min="11522" max="11522" width="42.5703125" customWidth="1"/>
    <col min="11523" max="11523" width="57.28515625" customWidth="1"/>
    <col min="11524" max="11524" width="54.7109375" customWidth="1"/>
    <col min="11525" max="11525" width="22.42578125" customWidth="1"/>
    <col min="11526" max="11526" width="70.85546875" customWidth="1"/>
    <col min="11527" max="11527" width="20.5703125" customWidth="1"/>
    <col min="11528" max="11528" width="71.42578125" customWidth="1"/>
    <col min="11529" max="11529" width="55.85546875" customWidth="1"/>
    <col min="11530" max="11530" width="50" customWidth="1"/>
    <col min="11531" max="11531" width="40.42578125" customWidth="1"/>
    <col min="11777" max="11777" width="79" customWidth="1"/>
    <col min="11778" max="11778" width="42.5703125" customWidth="1"/>
    <col min="11779" max="11779" width="57.28515625" customWidth="1"/>
    <col min="11780" max="11780" width="54.7109375" customWidth="1"/>
    <col min="11781" max="11781" width="22.42578125" customWidth="1"/>
    <col min="11782" max="11782" width="70.85546875" customWidth="1"/>
    <col min="11783" max="11783" width="20.5703125" customWidth="1"/>
    <col min="11784" max="11784" width="71.42578125" customWidth="1"/>
    <col min="11785" max="11785" width="55.85546875" customWidth="1"/>
    <col min="11786" max="11786" width="50" customWidth="1"/>
    <col min="11787" max="11787" width="40.42578125" customWidth="1"/>
    <col min="12033" max="12033" width="79" customWidth="1"/>
    <col min="12034" max="12034" width="42.5703125" customWidth="1"/>
    <col min="12035" max="12035" width="57.28515625" customWidth="1"/>
    <col min="12036" max="12036" width="54.7109375" customWidth="1"/>
    <col min="12037" max="12037" width="22.42578125" customWidth="1"/>
    <col min="12038" max="12038" width="70.85546875" customWidth="1"/>
    <col min="12039" max="12039" width="20.5703125" customWidth="1"/>
    <col min="12040" max="12040" width="71.42578125" customWidth="1"/>
    <col min="12041" max="12041" width="55.85546875" customWidth="1"/>
    <col min="12042" max="12042" width="50" customWidth="1"/>
    <col min="12043" max="12043" width="40.42578125" customWidth="1"/>
    <col min="12289" max="12289" width="79" customWidth="1"/>
    <col min="12290" max="12290" width="42.5703125" customWidth="1"/>
    <col min="12291" max="12291" width="57.28515625" customWidth="1"/>
    <col min="12292" max="12292" width="54.7109375" customWidth="1"/>
    <col min="12293" max="12293" width="22.42578125" customWidth="1"/>
    <col min="12294" max="12294" width="70.85546875" customWidth="1"/>
    <col min="12295" max="12295" width="20.5703125" customWidth="1"/>
    <col min="12296" max="12296" width="71.42578125" customWidth="1"/>
    <col min="12297" max="12297" width="55.85546875" customWidth="1"/>
    <col min="12298" max="12298" width="50" customWidth="1"/>
    <col min="12299" max="12299" width="40.42578125" customWidth="1"/>
    <col min="12545" max="12545" width="79" customWidth="1"/>
    <col min="12546" max="12546" width="42.5703125" customWidth="1"/>
    <col min="12547" max="12547" width="57.28515625" customWidth="1"/>
    <col min="12548" max="12548" width="54.7109375" customWidth="1"/>
    <col min="12549" max="12549" width="22.42578125" customWidth="1"/>
    <col min="12550" max="12550" width="70.85546875" customWidth="1"/>
    <col min="12551" max="12551" width="20.5703125" customWidth="1"/>
    <col min="12552" max="12552" width="71.42578125" customWidth="1"/>
    <col min="12553" max="12553" width="55.85546875" customWidth="1"/>
    <col min="12554" max="12554" width="50" customWidth="1"/>
    <col min="12555" max="12555" width="40.42578125" customWidth="1"/>
    <col min="12801" max="12801" width="79" customWidth="1"/>
    <col min="12802" max="12802" width="42.5703125" customWidth="1"/>
    <col min="12803" max="12803" width="57.28515625" customWidth="1"/>
    <col min="12804" max="12804" width="54.7109375" customWidth="1"/>
    <col min="12805" max="12805" width="22.42578125" customWidth="1"/>
    <col min="12806" max="12806" width="70.85546875" customWidth="1"/>
    <col min="12807" max="12807" width="20.5703125" customWidth="1"/>
    <col min="12808" max="12808" width="71.42578125" customWidth="1"/>
    <col min="12809" max="12809" width="55.85546875" customWidth="1"/>
    <col min="12810" max="12810" width="50" customWidth="1"/>
    <col min="12811" max="12811" width="40.42578125" customWidth="1"/>
    <col min="13057" max="13057" width="79" customWidth="1"/>
    <col min="13058" max="13058" width="42.5703125" customWidth="1"/>
    <col min="13059" max="13059" width="57.28515625" customWidth="1"/>
    <col min="13060" max="13060" width="54.7109375" customWidth="1"/>
    <col min="13061" max="13061" width="22.42578125" customWidth="1"/>
    <col min="13062" max="13062" width="70.85546875" customWidth="1"/>
    <col min="13063" max="13063" width="20.5703125" customWidth="1"/>
    <col min="13064" max="13064" width="71.42578125" customWidth="1"/>
    <col min="13065" max="13065" width="55.85546875" customWidth="1"/>
    <col min="13066" max="13066" width="50" customWidth="1"/>
    <col min="13067" max="13067" width="40.42578125" customWidth="1"/>
    <col min="13313" max="13313" width="79" customWidth="1"/>
    <col min="13314" max="13314" width="42.5703125" customWidth="1"/>
    <col min="13315" max="13315" width="57.28515625" customWidth="1"/>
    <col min="13316" max="13316" width="54.7109375" customWidth="1"/>
    <col min="13317" max="13317" width="22.42578125" customWidth="1"/>
    <col min="13318" max="13318" width="70.85546875" customWidth="1"/>
    <col min="13319" max="13319" width="20.5703125" customWidth="1"/>
    <col min="13320" max="13320" width="71.42578125" customWidth="1"/>
    <col min="13321" max="13321" width="55.85546875" customWidth="1"/>
    <col min="13322" max="13322" width="50" customWidth="1"/>
    <col min="13323" max="13323" width="40.42578125" customWidth="1"/>
    <col min="13569" max="13569" width="79" customWidth="1"/>
    <col min="13570" max="13570" width="42.5703125" customWidth="1"/>
    <col min="13571" max="13571" width="57.28515625" customWidth="1"/>
    <col min="13572" max="13572" width="54.7109375" customWidth="1"/>
    <col min="13573" max="13573" width="22.42578125" customWidth="1"/>
    <col min="13574" max="13574" width="70.85546875" customWidth="1"/>
    <col min="13575" max="13575" width="20.5703125" customWidth="1"/>
    <col min="13576" max="13576" width="71.42578125" customWidth="1"/>
    <col min="13577" max="13577" width="55.85546875" customWidth="1"/>
    <col min="13578" max="13578" width="50" customWidth="1"/>
    <col min="13579" max="13579" width="40.42578125" customWidth="1"/>
    <col min="13825" max="13825" width="79" customWidth="1"/>
    <col min="13826" max="13826" width="42.5703125" customWidth="1"/>
    <col min="13827" max="13827" width="57.28515625" customWidth="1"/>
    <col min="13828" max="13828" width="54.7109375" customWidth="1"/>
    <col min="13829" max="13829" width="22.42578125" customWidth="1"/>
    <col min="13830" max="13830" width="70.85546875" customWidth="1"/>
    <col min="13831" max="13831" width="20.5703125" customWidth="1"/>
    <col min="13832" max="13832" width="71.42578125" customWidth="1"/>
    <col min="13833" max="13833" width="55.85546875" customWidth="1"/>
    <col min="13834" max="13834" width="50" customWidth="1"/>
    <col min="13835" max="13835" width="40.42578125" customWidth="1"/>
    <col min="14081" max="14081" width="79" customWidth="1"/>
    <col min="14082" max="14082" width="42.5703125" customWidth="1"/>
    <col min="14083" max="14083" width="57.28515625" customWidth="1"/>
    <col min="14084" max="14084" width="54.7109375" customWidth="1"/>
    <col min="14085" max="14085" width="22.42578125" customWidth="1"/>
    <col min="14086" max="14086" width="70.85546875" customWidth="1"/>
    <col min="14087" max="14087" width="20.5703125" customWidth="1"/>
    <col min="14088" max="14088" width="71.42578125" customWidth="1"/>
    <col min="14089" max="14089" width="55.85546875" customWidth="1"/>
    <col min="14090" max="14090" width="50" customWidth="1"/>
    <col min="14091" max="14091" width="40.42578125" customWidth="1"/>
    <col min="14337" max="14337" width="79" customWidth="1"/>
    <col min="14338" max="14338" width="42.5703125" customWidth="1"/>
    <col min="14339" max="14339" width="57.28515625" customWidth="1"/>
    <col min="14340" max="14340" width="54.7109375" customWidth="1"/>
    <col min="14341" max="14341" width="22.42578125" customWidth="1"/>
    <col min="14342" max="14342" width="70.85546875" customWidth="1"/>
    <col min="14343" max="14343" width="20.5703125" customWidth="1"/>
    <col min="14344" max="14344" width="71.42578125" customWidth="1"/>
    <col min="14345" max="14345" width="55.85546875" customWidth="1"/>
    <col min="14346" max="14346" width="50" customWidth="1"/>
    <col min="14347" max="14347" width="40.42578125" customWidth="1"/>
    <col min="14593" max="14593" width="79" customWidth="1"/>
    <col min="14594" max="14594" width="42.5703125" customWidth="1"/>
    <col min="14595" max="14595" width="57.28515625" customWidth="1"/>
    <col min="14596" max="14596" width="54.7109375" customWidth="1"/>
    <col min="14597" max="14597" width="22.42578125" customWidth="1"/>
    <col min="14598" max="14598" width="70.85546875" customWidth="1"/>
    <col min="14599" max="14599" width="20.5703125" customWidth="1"/>
    <col min="14600" max="14600" width="71.42578125" customWidth="1"/>
    <col min="14601" max="14601" width="55.85546875" customWidth="1"/>
    <col min="14602" max="14602" width="50" customWidth="1"/>
    <col min="14603" max="14603" width="40.42578125" customWidth="1"/>
    <col min="14849" max="14849" width="79" customWidth="1"/>
    <col min="14850" max="14850" width="42.5703125" customWidth="1"/>
    <col min="14851" max="14851" width="57.28515625" customWidth="1"/>
    <col min="14852" max="14852" width="54.7109375" customWidth="1"/>
    <col min="14853" max="14853" width="22.42578125" customWidth="1"/>
    <col min="14854" max="14854" width="70.85546875" customWidth="1"/>
    <col min="14855" max="14855" width="20.5703125" customWidth="1"/>
    <col min="14856" max="14856" width="71.42578125" customWidth="1"/>
    <col min="14857" max="14857" width="55.85546875" customWidth="1"/>
    <col min="14858" max="14858" width="50" customWidth="1"/>
    <col min="14859" max="14859" width="40.42578125" customWidth="1"/>
    <col min="15105" max="15105" width="79" customWidth="1"/>
    <col min="15106" max="15106" width="42.5703125" customWidth="1"/>
    <col min="15107" max="15107" width="57.28515625" customWidth="1"/>
    <col min="15108" max="15108" width="54.7109375" customWidth="1"/>
    <col min="15109" max="15109" width="22.42578125" customWidth="1"/>
    <col min="15110" max="15110" width="70.85546875" customWidth="1"/>
    <col min="15111" max="15111" width="20.5703125" customWidth="1"/>
    <col min="15112" max="15112" width="71.42578125" customWidth="1"/>
    <col min="15113" max="15113" width="55.85546875" customWidth="1"/>
    <col min="15114" max="15114" width="50" customWidth="1"/>
    <col min="15115" max="15115" width="40.42578125" customWidth="1"/>
    <col min="15361" max="15361" width="79" customWidth="1"/>
    <col min="15362" max="15362" width="42.5703125" customWidth="1"/>
    <col min="15363" max="15363" width="57.28515625" customWidth="1"/>
    <col min="15364" max="15364" width="54.7109375" customWidth="1"/>
    <col min="15365" max="15365" width="22.42578125" customWidth="1"/>
    <col min="15366" max="15366" width="70.85546875" customWidth="1"/>
    <col min="15367" max="15367" width="20.5703125" customWidth="1"/>
    <col min="15368" max="15368" width="71.42578125" customWidth="1"/>
    <col min="15369" max="15369" width="55.85546875" customWidth="1"/>
    <col min="15370" max="15370" width="50" customWidth="1"/>
    <col min="15371" max="15371" width="40.42578125" customWidth="1"/>
    <col min="15617" max="15617" width="79" customWidth="1"/>
    <col min="15618" max="15618" width="42.5703125" customWidth="1"/>
    <col min="15619" max="15619" width="57.28515625" customWidth="1"/>
    <col min="15620" max="15620" width="54.7109375" customWidth="1"/>
    <col min="15621" max="15621" width="22.42578125" customWidth="1"/>
    <col min="15622" max="15622" width="70.85546875" customWidth="1"/>
    <col min="15623" max="15623" width="20.5703125" customWidth="1"/>
    <col min="15624" max="15624" width="71.42578125" customWidth="1"/>
    <col min="15625" max="15625" width="55.85546875" customWidth="1"/>
    <col min="15626" max="15626" width="50" customWidth="1"/>
    <col min="15627" max="15627" width="40.42578125" customWidth="1"/>
    <col min="15873" max="15873" width="79" customWidth="1"/>
    <col min="15874" max="15874" width="42.5703125" customWidth="1"/>
    <col min="15875" max="15875" width="57.28515625" customWidth="1"/>
    <col min="15876" max="15876" width="54.7109375" customWidth="1"/>
    <col min="15877" max="15877" width="22.42578125" customWidth="1"/>
    <col min="15878" max="15878" width="70.85546875" customWidth="1"/>
    <col min="15879" max="15879" width="20.5703125" customWidth="1"/>
    <col min="15880" max="15880" width="71.42578125" customWidth="1"/>
    <col min="15881" max="15881" width="55.85546875" customWidth="1"/>
    <col min="15882" max="15882" width="50" customWidth="1"/>
    <col min="15883" max="15883" width="40.42578125" customWidth="1"/>
    <col min="16129" max="16129" width="79" customWidth="1"/>
    <col min="16130" max="16130" width="42.5703125" customWidth="1"/>
    <col min="16131" max="16131" width="57.28515625" customWidth="1"/>
    <col min="16132" max="16132" width="54.7109375" customWidth="1"/>
    <col min="16133" max="16133" width="22.42578125" customWidth="1"/>
    <col min="16134" max="16134" width="70.85546875" customWidth="1"/>
    <col min="16135" max="16135" width="20.5703125" customWidth="1"/>
    <col min="16136" max="16136" width="71.42578125" customWidth="1"/>
    <col min="16137" max="16137" width="55.85546875" customWidth="1"/>
    <col min="16138" max="16138" width="50" customWidth="1"/>
    <col min="16139" max="16139" width="40.42578125" customWidth="1"/>
  </cols>
  <sheetData>
    <row r="1" spans="1:4" ht="20.25" x14ac:dyDescent="0.3">
      <c r="A1" s="65" t="s">
        <v>103</v>
      </c>
    </row>
    <row r="3" spans="1:4" x14ac:dyDescent="0.25">
      <c r="A3" s="67" t="s">
        <v>104</v>
      </c>
      <c r="B3" s="64"/>
      <c r="C3" s="68"/>
    </row>
    <row r="4" spans="1:4" x14ac:dyDescent="0.25">
      <c r="A4" s="64" t="s">
        <v>105</v>
      </c>
      <c r="B4" s="64">
        <v>2</v>
      </c>
      <c r="C4" s="68"/>
    </row>
    <row r="5" spans="1:4" x14ac:dyDescent="0.25">
      <c r="A5" s="64"/>
      <c r="B5" s="64"/>
      <c r="C5" s="68"/>
    </row>
    <row r="6" spans="1:4" x14ac:dyDescent="0.25">
      <c r="A6" s="67" t="s">
        <v>106</v>
      </c>
      <c r="B6" s="64"/>
      <c r="C6" s="68"/>
    </row>
    <row r="7" spans="1:4" x14ac:dyDescent="0.25">
      <c r="A7" s="64" t="s">
        <v>107</v>
      </c>
      <c r="B7" s="64"/>
      <c r="C7" s="68"/>
    </row>
    <row r="8" spans="1:4" x14ac:dyDescent="0.25">
      <c r="A8" s="64" t="s">
        <v>108</v>
      </c>
      <c r="B8" s="64">
        <v>1</v>
      </c>
      <c r="C8" s="68"/>
    </row>
    <row r="9" spans="1:4" x14ac:dyDescent="0.25">
      <c r="A9" s="64"/>
      <c r="B9" s="64"/>
      <c r="C9" s="68" t="s">
        <v>177</v>
      </c>
      <c r="D9" s="137"/>
    </row>
    <row r="10" spans="1:4" x14ac:dyDescent="0.25">
      <c r="A10" s="64"/>
      <c r="B10" s="64"/>
      <c r="C10" s="68" t="s">
        <v>176</v>
      </c>
      <c r="D10" s="137"/>
    </row>
    <row r="11" spans="1:4" x14ac:dyDescent="0.25">
      <c r="A11" s="67" t="s">
        <v>109</v>
      </c>
      <c r="B11" s="64"/>
      <c r="C11" s="68" t="s">
        <v>179</v>
      </c>
      <c r="D11" s="137"/>
    </row>
    <row r="12" spans="1:4" x14ac:dyDescent="0.25">
      <c r="A12" s="64" t="s">
        <v>110</v>
      </c>
      <c r="B12" s="64"/>
      <c r="C12" s="68"/>
    </row>
    <row r="13" spans="1:4" x14ac:dyDescent="0.25">
      <c r="A13" s="64" t="s">
        <v>111</v>
      </c>
      <c r="B13" s="64"/>
      <c r="C13" s="68"/>
    </row>
    <row r="14" spans="1:4" x14ac:dyDescent="0.25">
      <c r="A14" s="64" t="s">
        <v>112</v>
      </c>
      <c r="B14" s="64"/>
      <c r="C14" s="68"/>
    </row>
    <row r="15" spans="1:4" x14ac:dyDescent="0.25">
      <c r="A15" s="64"/>
      <c r="B15" s="64">
        <v>1</v>
      </c>
      <c r="C15" s="68"/>
    </row>
    <row r="16" spans="1:4" x14ac:dyDescent="0.25">
      <c r="A16" s="58" t="s">
        <v>113</v>
      </c>
      <c r="C16" s="68"/>
    </row>
    <row r="17" spans="1:8" x14ac:dyDescent="0.25">
      <c r="A17" s="59" t="s">
        <v>110</v>
      </c>
      <c r="B17" t="str">
        <f>IF(B8=1,"Ja","N.v.t.")</f>
        <v>Ja</v>
      </c>
      <c r="C17" s="68"/>
    </row>
    <row r="18" spans="1:8" x14ac:dyDescent="0.25">
      <c r="A18" s="59" t="s">
        <v>114</v>
      </c>
      <c r="B18" t="str">
        <f>IF(B8=1,"Nee","")</f>
        <v>Nee</v>
      </c>
      <c r="C18" s="68"/>
    </row>
    <row r="19" spans="1:8" x14ac:dyDescent="0.25">
      <c r="A19" s="59" t="s">
        <v>115</v>
      </c>
      <c r="C19" s="68"/>
    </row>
    <row r="20" spans="1:8" x14ac:dyDescent="0.25">
      <c r="A20" s="59" t="s">
        <v>116</v>
      </c>
      <c r="B20">
        <v>1</v>
      </c>
      <c r="C20" s="68"/>
    </row>
    <row r="21" spans="1:8" x14ac:dyDescent="0.25">
      <c r="A21" s="59"/>
      <c r="C21" s="68"/>
    </row>
    <row r="22" spans="1:8" x14ac:dyDescent="0.25">
      <c r="A22" s="58" t="s">
        <v>117</v>
      </c>
      <c r="C22" s="68"/>
    </row>
    <row r="23" spans="1:8" x14ac:dyDescent="0.25">
      <c r="A23" s="59" t="s">
        <v>118</v>
      </c>
      <c r="B23">
        <v>1</v>
      </c>
      <c r="C23" s="68"/>
    </row>
    <row r="24" spans="1:8" x14ac:dyDescent="0.25">
      <c r="A24" s="64"/>
      <c r="B24" s="64"/>
      <c r="C24" s="68"/>
    </row>
    <row r="25" spans="1:8" ht="18" x14ac:dyDescent="0.25">
      <c r="A25" s="66" t="s">
        <v>119</v>
      </c>
      <c r="B25" s="64"/>
      <c r="C25" s="68"/>
    </row>
    <row r="26" spans="1:8" x14ac:dyDescent="0.25">
      <c r="A26" s="64"/>
      <c r="B26" s="64"/>
      <c r="C26" s="68"/>
    </row>
    <row r="27" spans="1:8" x14ac:dyDescent="0.25">
      <c r="A27" s="58" t="s">
        <v>120</v>
      </c>
    </row>
    <row r="28" spans="1:8" x14ac:dyDescent="0.25">
      <c r="A28" s="59" t="s">
        <v>121</v>
      </c>
      <c r="F28" s="58"/>
      <c r="H28" s="58"/>
    </row>
    <row r="29" spans="1:8" x14ac:dyDescent="0.25">
      <c r="A29" s="59" t="s">
        <v>122</v>
      </c>
      <c r="F29" s="58"/>
      <c r="H29" s="58"/>
    </row>
    <row r="30" spans="1:8" x14ac:dyDescent="0.25">
      <c r="A30">
        <v>1</v>
      </c>
      <c r="F30" s="58"/>
      <c r="H30" s="58"/>
    </row>
    <row r="31" spans="1:8" x14ac:dyDescent="0.25">
      <c r="A31" s="58" t="s">
        <v>123</v>
      </c>
      <c r="B31" s="58"/>
      <c r="C31" s="58"/>
      <c r="D31" s="58"/>
      <c r="E31" s="69"/>
      <c r="G31" s="69"/>
    </row>
    <row r="32" spans="1:8" x14ac:dyDescent="0.25">
      <c r="A32" s="59" t="s">
        <v>110</v>
      </c>
      <c r="B32" s="59"/>
      <c r="C32" s="59"/>
      <c r="E32" s="69"/>
      <c r="F32" s="59"/>
      <c r="G32" s="69"/>
    </row>
    <row r="33" spans="1:11" x14ac:dyDescent="0.25">
      <c r="A33" s="59" t="s">
        <v>114</v>
      </c>
      <c r="B33" s="59"/>
      <c r="C33" s="59"/>
      <c r="E33" s="69"/>
      <c r="G33" s="69"/>
      <c r="H33" s="59"/>
      <c r="I33" s="58"/>
      <c r="J33" s="58"/>
      <c r="K33" s="58"/>
    </row>
    <row r="34" spans="1:11" x14ac:dyDescent="0.25">
      <c r="A34" s="59" t="s">
        <v>115</v>
      </c>
      <c r="B34" s="59"/>
      <c r="C34" s="59"/>
      <c r="E34" s="69"/>
      <c r="F34" s="59"/>
      <c r="H34" s="59"/>
      <c r="I34" s="59"/>
      <c r="J34" s="59"/>
    </row>
    <row r="35" spans="1:11" x14ac:dyDescent="0.25">
      <c r="A35" s="59"/>
      <c r="B35" s="59"/>
      <c r="C35" s="59"/>
      <c r="E35" s="69"/>
      <c r="F35" s="59"/>
      <c r="H35" s="59"/>
      <c r="I35" s="59"/>
      <c r="J35" s="59"/>
    </row>
    <row r="36" spans="1:11" x14ac:dyDescent="0.25">
      <c r="A36" s="59"/>
      <c r="B36" s="59"/>
      <c r="C36" s="59"/>
      <c r="E36" s="69"/>
      <c r="F36" s="59"/>
      <c r="H36" s="59"/>
      <c r="I36" s="59"/>
      <c r="J36" s="59"/>
    </row>
    <row r="37" spans="1:11" x14ac:dyDescent="0.25">
      <c r="A37" s="58" t="s">
        <v>332</v>
      </c>
      <c r="B37" s="59"/>
      <c r="C37" s="59"/>
      <c r="E37" s="69"/>
      <c r="F37" s="59"/>
      <c r="H37" s="59"/>
      <c r="I37" s="59"/>
      <c r="J37" s="59"/>
    </row>
    <row r="38" spans="1:11" x14ac:dyDescent="0.25">
      <c r="A38" s="341" t="s">
        <v>333</v>
      </c>
      <c r="B38" s="341" t="s">
        <v>334</v>
      </c>
      <c r="C38" s="59"/>
      <c r="E38" s="69"/>
      <c r="F38" s="59"/>
      <c r="H38" s="59"/>
      <c r="I38" s="59"/>
      <c r="J38" s="59"/>
    </row>
    <row r="39" spans="1:11" x14ac:dyDescent="0.25">
      <c r="A39" s="59">
        <v>1</v>
      </c>
      <c r="B39" s="342" t="e">
        <f>IF(Exploitatieberekening!$B$29&lt;100%,SUM(Exploitatieberekening!$O$113:'Exploitatieberekening'!$O$113)/(SUM(Exploitatieberekening!$O$94:'Exploitatieberekening'!$O$94)+SUM(Exploitatieberekening!$O$95:'Exploitatieberekening'!$O$95)),"n.v.t., geen vreemd vermogen")</f>
        <v>#DIV/0!</v>
      </c>
      <c r="C39" s="59"/>
      <c r="E39" s="69"/>
      <c r="F39" s="59"/>
      <c r="H39" s="59"/>
      <c r="I39" s="59"/>
      <c r="J39" s="59"/>
    </row>
    <row r="40" spans="1:11" x14ac:dyDescent="0.25">
      <c r="A40" s="59">
        <v>2</v>
      </c>
      <c r="B40" s="342" t="e">
        <f>IF(Exploitatieberekening!$B$29&lt;100%,SUM(Exploitatieberekening!$O$113:'Exploitatieberekening'!$P$113)/(SUM(Exploitatieberekening!$O$94:'Exploitatieberekening'!$P$94)+SUM(Exploitatieberekening!$O$95:'Exploitatieberekening'!$P$95)),"n.v.t., geen vreemd vermogen")</f>
        <v>#DIV/0!</v>
      </c>
      <c r="C40" s="59"/>
      <c r="E40" s="69"/>
      <c r="F40" s="59"/>
      <c r="H40" s="59"/>
      <c r="I40" s="59"/>
      <c r="J40" s="59"/>
    </row>
    <row r="41" spans="1:11" x14ac:dyDescent="0.25">
      <c r="A41" s="59">
        <v>3</v>
      </c>
      <c r="B41" s="342" t="e">
        <f>IF(Exploitatieberekening!$B$29&lt;100%,SUM(Exploitatieberekening!$O$113:'Exploitatieberekening'!$Q$113)/(SUM(Exploitatieberekening!$O$94:'Exploitatieberekening'!$Q$94)+SUM(Exploitatieberekening!$O$95:'Exploitatieberekening'!$Q$95)),"n.v.t., geen vreemd vermogen")</f>
        <v>#DIV/0!</v>
      </c>
      <c r="C41" s="59"/>
      <c r="E41" s="69"/>
      <c r="F41" s="59"/>
      <c r="H41" s="59"/>
      <c r="I41" s="59"/>
      <c r="J41" s="59"/>
    </row>
    <row r="42" spans="1:11" x14ac:dyDescent="0.25">
      <c r="A42" s="59">
        <v>4</v>
      </c>
      <c r="B42" s="342" t="e">
        <f>IF(Exploitatieberekening!$B$29&lt;100%,SUM(Exploitatieberekening!$O$113:'Exploitatieberekening'!$R$113)/(SUM(Exploitatieberekening!$O$94:'Exploitatieberekening'!$R$94)+SUM(Exploitatieberekening!$O$95:'Exploitatieberekening'!$R$95)),"n.v.t., geen vreemd vermogen")</f>
        <v>#DIV/0!</v>
      </c>
      <c r="C42" s="59"/>
      <c r="E42" s="69"/>
      <c r="F42" s="59"/>
      <c r="H42" s="59"/>
      <c r="I42" s="59"/>
      <c r="J42" s="59"/>
    </row>
    <row r="43" spans="1:11" x14ac:dyDescent="0.25">
      <c r="A43" s="59">
        <v>5</v>
      </c>
      <c r="B43" s="342" t="e">
        <f>IF(Exploitatieberekening!$B$29&lt;100%,SUM(Exploitatieberekening!$O$113:'Exploitatieberekening'!$S$113)/(SUM(Exploitatieberekening!$O$94:'Exploitatieberekening'!$S$94)+SUM(Exploitatieberekening!$O$95:'Exploitatieberekening'!$S$95)),"n.v.t., geen vreemd vermogen")</f>
        <v>#DIV/0!</v>
      </c>
      <c r="C43" s="59"/>
      <c r="E43" s="69"/>
      <c r="F43" s="59"/>
      <c r="H43" s="59"/>
      <c r="I43" s="59"/>
      <c r="J43" s="59"/>
    </row>
    <row r="44" spans="1:11" x14ac:dyDescent="0.25">
      <c r="A44" s="59">
        <v>6</v>
      </c>
      <c r="B44" s="342" t="e">
        <f>IF(Exploitatieberekening!$B$29&lt;100%,SUM(Exploitatieberekening!$O$113:'Exploitatieberekening'!$T$113)/(SUM(Exploitatieberekening!$O$94:'Exploitatieberekening'!$T$94)+SUM(Exploitatieberekening!$O$95:'Exploitatieberekening'!$T$95)),"n.v.t., geen vreemd vermogen")</f>
        <v>#DIV/0!</v>
      </c>
      <c r="C44" s="59"/>
      <c r="E44" s="69"/>
      <c r="F44" s="59"/>
      <c r="H44" s="59"/>
      <c r="I44" s="59"/>
      <c r="J44" s="59"/>
    </row>
    <row r="45" spans="1:11" x14ac:dyDescent="0.25">
      <c r="A45" s="59">
        <v>7</v>
      </c>
      <c r="B45" s="342" t="e">
        <f>IF(Exploitatieberekening!$B$29&lt;100%,SUM(Exploitatieberekening!$O$113:'Exploitatieberekening'!$U$113)/(SUM(Exploitatieberekening!$O$94:'Exploitatieberekening'!$U$94)+SUM(Exploitatieberekening!$O$95:'Exploitatieberekening'!$U$95)),"n.v.t., geen vreemd vermogen")</f>
        <v>#DIV/0!</v>
      </c>
      <c r="C45" s="59"/>
      <c r="E45" s="69"/>
      <c r="F45" s="59"/>
      <c r="H45" s="59"/>
      <c r="I45" s="59"/>
      <c r="J45" s="59"/>
    </row>
    <row r="46" spans="1:11" x14ac:dyDescent="0.25">
      <c r="A46" s="59">
        <v>8</v>
      </c>
      <c r="B46" s="342" t="e">
        <f>IF(Exploitatieberekening!$B$29&lt;100%,SUM(Exploitatieberekening!$O$113:'Exploitatieberekening'!$V$113)/(SUM(Exploitatieberekening!$O$94:'Exploitatieberekening'!$V$94)+SUM(Exploitatieberekening!$O$95:'Exploitatieberekening'!$V$95)),"n.v.t., geen vreemd vermogen")</f>
        <v>#DIV/0!</v>
      </c>
      <c r="C46" s="59"/>
      <c r="E46" s="69"/>
      <c r="F46" s="59"/>
      <c r="H46" s="59"/>
      <c r="I46" s="59"/>
      <c r="J46" s="59"/>
    </row>
    <row r="47" spans="1:11" x14ac:dyDescent="0.25">
      <c r="A47" s="59">
        <v>9</v>
      </c>
      <c r="B47" s="342" t="e">
        <f>IF(Exploitatieberekening!$B$29&lt;100%,SUM(Exploitatieberekening!$O$113:'Exploitatieberekening'!$W$113)/(SUM(Exploitatieberekening!$O$94:'Exploitatieberekening'!$W$94)+SUM(Exploitatieberekening!$O$95:'Exploitatieberekening'!$W$95)),"n.v.t., geen vreemd vermogen")</f>
        <v>#DIV/0!</v>
      </c>
      <c r="C47" s="59"/>
      <c r="E47" s="69"/>
      <c r="F47" s="59"/>
      <c r="H47" s="59"/>
      <c r="I47" s="59"/>
      <c r="J47" s="59"/>
    </row>
    <row r="48" spans="1:11" x14ac:dyDescent="0.25">
      <c r="A48" s="59">
        <v>10</v>
      </c>
      <c r="B48" s="342" t="e">
        <f>IF(Exploitatieberekening!$B$29&lt;100%,SUM(Exploitatieberekening!$O$113:'Exploitatieberekening'!$X$113)/(SUM(Exploitatieberekening!$O$94:'Exploitatieberekening'!$X$94)+SUM(Exploitatieberekening!$O$95:'Exploitatieberekening'!$X$95)),"n.v.t., geen vreemd vermogen")</f>
        <v>#DIV/0!</v>
      </c>
      <c r="C48" s="59"/>
      <c r="E48" s="69"/>
      <c r="F48" s="59"/>
      <c r="H48" s="59"/>
      <c r="I48" s="59"/>
      <c r="J48" s="59"/>
    </row>
    <row r="49" spans="1:18" x14ac:dyDescent="0.25">
      <c r="A49" s="59">
        <v>11</v>
      </c>
      <c r="B49" s="342" t="e">
        <f>IF(Exploitatieberekening!$B$29&lt;100%,SUM(Exploitatieberekening!$O$113:'Exploitatieberekening'!$Y$113)/(SUM(Exploitatieberekening!$O$94:'Exploitatieberekening'!$Y$94)+SUM(Exploitatieberekening!$O$95:'Exploitatieberekening'!$Y$95)),"n.v.t., geen vreemd vermogen")</f>
        <v>#DIV/0!</v>
      </c>
      <c r="C49" s="59"/>
      <c r="E49" s="69"/>
      <c r="F49" s="59"/>
      <c r="H49" s="59"/>
      <c r="I49" s="59"/>
      <c r="J49" s="59"/>
    </row>
    <row r="50" spans="1:18" x14ac:dyDescent="0.25">
      <c r="A50" s="59">
        <v>12</v>
      </c>
      <c r="B50" s="342" t="e">
        <f>IF(Exploitatieberekening!$B$29&lt;100%,SUM(Exploitatieberekening!$O$113:'Exploitatieberekening'!$Z$113)/(SUM(Exploitatieberekening!$O$94:'Exploitatieberekening'!$Z$94)+SUM(Exploitatieberekening!$O$95:'Exploitatieberekening'!$Z$95)),"n.v.t., geen vreemd vermogen")</f>
        <v>#DIV/0!</v>
      </c>
      <c r="C50" s="59"/>
      <c r="E50" s="69"/>
      <c r="F50" s="59"/>
      <c r="H50" s="59"/>
      <c r="I50" s="59"/>
      <c r="J50" s="59"/>
    </row>
    <row r="51" spans="1:18" x14ac:dyDescent="0.25">
      <c r="A51" s="59">
        <v>13</v>
      </c>
      <c r="B51" s="342" t="e">
        <f>IF(Exploitatieberekening!$B$29&lt;100%,SUM(Exploitatieberekening!$O$113:'Exploitatieberekening'!$AA$113)/(SUM(Exploitatieberekening!$O$94:'Exploitatieberekening'!$AA$94)+SUM(Exploitatieberekening!$O$95:'Exploitatieberekening'!$AA$95)),"n.v.t., geen vreemd vermogen")</f>
        <v>#DIV/0!</v>
      </c>
      <c r="C51" s="59"/>
      <c r="E51" s="69"/>
      <c r="F51" s="59"/>
      <c r="H51" s="59"/>
      <c r="I51" s="59"/>
      <c r="J51" s="59"/>
    </row>
    <row r="52" spans="1:18" x14ac:dyDescent="0.25">
      <c r="A52" s="59">
        <v>14</v>
      </c>
      <c r="B52" s="342" t="e">
        <f>IF(Exploitatieberekening!$B$29&lt;100%,SUM(Exploitatieberekening!$O$113:'Exploitatieberekening'!$AB$113)/(SUM(Exploitatieberekening!$O$94:'Exploitatieberekening'!$AB$94)+SUM(Exploitatieberekening!$O$95:'Exploitatieberekening'!$AB$95)),"n.v.t., geen vreemd vermogen")</f>
        <v>#DIV/0!</v>
      </c>
      <c r="C52" s="59"/>
      <c r="E52" s="69"/>
      <c r="F52" s="59"/>
      <c r="H52" s="59"/>
      <c r="I52" s="59"/>
      <c r="J52" s="59"/>
    </row>
    <row r="53" spans="1:18" x14ac:dyDescent="0.25">
      <c r="A53">
        <v>15</v>
      </c>
      <c r="B53" s="342" t="e">
        <f>IF(Exploitatieberekening!$B$29&lt;100%,SUM(Exploitatieberekening!$O$113:'Exploitatieberekening'!$AC$113)/(SUM(Exploitatieberekening!$O$94:'Exploitatieberekening'!$AC$94)+SUM(Exploitatieberekening!$O$95:'Exploitatieberekening'!$AC$95)),"n.v.t., geen vreemd vermogen")</f>
        <v>#DIV/0!</v>
      </c>
      <c r="E53" s="69"/>
      <c r="F53" s="59"/>
      <c r="H53" s="59"/>
      <c r="I53" s="59"/>
      <c r="J53" s="59"/>
      <c r="K53" s="59"/>
    </row>
    <row r="54" spans="1:18" ht="12" customHeight="1" x14ac:dyDescent="0.25">
      <c r="A54" s="59"/>
      <c r="B54" s="59"/>
      <c r="F54" s="59"/>
      <c r="H54" s="59"/>
      <c r="I54" s="59"/>
    </row>
    <row r="55" spans="1:18" ht="21.75" customHeight="1" x14ac:dyDescent="0.25">
      <c r="A55" s="70" t="s">
        <v>124</v>
      </c>
      <c r="B55" s="63"/>
      <c r="C55" s="69"/>
      <c r="D55" s="69"/>
      <c r="E55" s="69"/>
      <c r="F55" s="69"/>
      <c r="G55" s="69"/>
      <c r="H55" s="69"/>
      <c r="I55" s="69"/>
      <c r="J55" s="69"/>
      <c r="K55" s="69"/>
      <c r="L55" s="69"/>
      <c r="M55" s="69"/>
      <c r="N55" s="69"/>
      <c r="O55" s="69"/>
      <c r="P55" s="69"/>
      <c r="Q55" s="69"/>
      <c r="R55" s="69"/>
    </row>
    <row r="56" spans="1:18" ht="15" customHeight="1" x14ac:dyDescent="0.25">
      <c r="A56" s="92" t="s">
        <v>277</v>
      </c>
      <c r="B56" s="92"/>
      <c r="C56" s="93"/>
      <c r="D56" s="93"/>
      <c r="F56" s="58"/>
      <c r="H56" s="59"/>
      <c r="I56" s="59"/>
    </row>
    <row r="57" spans="1:18" ht="101.25" customHeight="1" x14ac:dyDescent="0.25">
      <c r="A57" s="589" t="s">
        <v>291</v>
      </c>
      <c r="B57" s="589"/>
      <c r="C57" s="590"/>
      <c r="D57" s="590"/>
      <c r="E57" s="71"/>
      <c r="F57" s="591"/>
      <c r="G57" s="505"/>
      <c r="H57" s="505"/>
    </row>
    <row r="58" spans="1:18" ht="15" customHeight="1" x14ac:dyDescent="0.25">
      <c r="A58" s="92" t="s">
        <v>287</v>
      </c>
      <c r="B58" s="64"/>
      <c r="C58" s="68"/>
      <c r="D58" s="68"/>
      <c r="E58" s="71"/>
      <c r="F58" s="591"/>
      <c r="G58" s="505"/>
      <c r="H58" s="505"/>
    </row>
    <row r="59" spans="1:18" ht="75" customHeight="1" x14ac:dyDescent="0.25">
      <c r="A59" s="592" t="s">
        <v>288</v>
      </c>
      <c r="B59" s="590"/>
      <c r="C59" s="590"/>
      <c r="D59" s="590"/>
      <c r="F59" s="591"/>
      <c r="G59" s="505"/>
      <c r="H59" s="505"/>
    </row>
    <row r="60" spans="1:18" ht="15" customHeight="1" x14ac:dyDescent="0.25">
      <c r="A60" s="94" t="s">
        <v>289</v>
      </c>
      <c r="B60" s="68"/>
      <c r="C60" s="68"/>
      <c r="D60" s="68"/>
      <c r="F60" s="64"/>
      <c r="G60" s="72"/>
      <c r="H60" s="72"/>
    </row>
    <row r="61" spans="1:18" ht="75" customHeight="1" x14ac:dyDescent="0.25">
      <c r="A61" s="589" t="s">
        <v>290</v>
      </c>
      <c r="B61" s="589"/>
      <c r="C61" s="590"/>
      <c r="D61" s="590"/>
      <c r="F61" s="64"/>
      <c r="G61" s="72"/>
      <c r="H61" s="72"/>
    </row>
    <row r="62" spans="1:18" s="72" customFormat="1" ht="12.75" customHeight="1" x14ac:dyDescent="0.25"/>
    <row r="63" spans="1:18" s="72" customFormat="1" ht="16.5" customHeight="1" x14ac:dyDescent="0.25">
      <c r="A63" s="73" t="s">
        <v>125</v>
      </c>
    </row>
    <row r="64" spans="1:18" s="72" customFormat="1" ht="15" customHeight="1" x14ac:dyDescent="0.25">
      <c r="A64" s="91" t="s">
        <v>277</v>
      </c>
      <c r="B64" s="64" t="str">
        <f>A57</f>
        <v xml:space="preserve">Ter onderbouwing geeft u een beschrijving van uw productie-installatie voor waterstof en een beschrijving van het wind- en/of zonnepark waaraan de waterstofproductie-installatie direct is gekoppeld. Tevens een beschrijving van het wind- en/of zonnepark(en) waarmee voor de waterstofproductie-installatie een stroomcontract (PPA) beoogt te worden afgesloten met tussenkomst van het net. Daarnaast geeft u een onderbouwing van de jaarlijkse hoeveelheid waterstofproductie met hierbij een waterstofopbrengstberekening. 
Verder onderbouwt u dat uw waterstof productie-installatie voornamelijk in staat is alleen te produceren op de electriciteitsproductie van het wind- en/of zonnepark dat direct gekoppeld is en beoogd gecontracteerd voor stroomlevering via het net.
</v>
      </c>
    </row>
    <row r="65" spans="1:4" s="72" customFormat="1" ht="15" customHeight="1" x14ac:dyDescent="0.25">
      <c r="A65" s="91" t="s">
        <v>275</v>
      </c>
      <c r="B65" s="64" t="str">
        <f>A59</f>
        <v xml:space="preserve">Ter onderbouwing geeft u een beschrijving van uw productie-installatie voor waterstof en een beschrijving van het wind- en/of zonnepark(en) waarmee voor de waterstofproductie-installatie een stroomcontract (PPA) beoogt te worden afgesloten. Daarnaast geeft u een onderbouwing van de jaarlijkse hoeveelheid waterstofproductie met hierbij een waterstofopbrengstberekening.  
Verder onderbouwt u dat uw waterstof productie-installatie voornamelijk in staat is alleen te produceren op de electriciteitsproductie van het wind- en/of zonnepark(en) waarmee voor de waterstofproductie-installatie een stroomcontract (PPA) beoogt te worden afgesloten. </v>
      </c>
    </row>
    <row r="66" spans="1:4" s="72" customFormat="1" ht="15" customHeight="1" x14ac:dyDescent="0.25">
      <c r="A66" s="91" t="s">
        <v>276</v>
      </c>
      <c r="B66" s="64" t="str">
        <f>A61</f>
        <v xml:space="preserve">Ter onderbouwing geeft u een beschrijving van uw productie-installatie voor waterstof en een beschrijving van het wind- en/of zonnepark waaraan de waterstofproductie-installatie direct is gekoppeld. Daarnaast geeft u een onderbouwing van de jaarlijkse hoeveelheid waterstofproductie met hierbij een waterstofopbrengstberekening. 
Verder onderbouwt u dat uw waterstof productie-installatie voornamelijk in staat is alleen te produceren op de electriciteitsproductie van het direct gekoppelde wind- en/of zonnepark 
</v>
      </c>
    </row>
    <row r="68" spans="1:4" x14ac:dyDescent="0.25">
      <c r="A68" s="58" t="s">
        <v>126</v>
      </c>
    </row>
    <row r="69" spans="1:4" x14ac:dyDescent="0.25">
      <c r="A69" s="63" t="str">
        <f>Hulpblad_categorieën_parameters!C7</f>
        <v>Elektrolyser met aansluiting gekoppeld aan het elektriciteitsnet</v>
      </c>
      <c r="B69" s="74"/>
      <c r="C69" s="74"/>
      <c r="D69" s="74"/>
    </row>
    <row r="70" spans="1:4" x14ac:dyDescent="0.25">
      <c r="B70" s="74"/>
      <c r="C70" s="74"/>
      <c r="D70" s="74"/>
    </row>
    <row r="71" spans="1:4" x14ac:dyDescent="0.25">
      <c r="B71" s="74"/>
      <c r="C71" s="74"/>
      <c r="D71" s="74"/>
    </row>
    <row r="72" spans="1:4" x14ac:dyDescent="0.25">
      <c r="B72" s="59"/>
    </row>
  </sheetData>
  <mergeCells count="6">
    <mergeCell ref="A61:D61"/>
    <mergeCell ref="A57:D57"/>
    <mergeCell ref="F57:H57"/>
    <mergeCell ref="F58:H58"/>
    <mergeCell ref="A59:D59"/>
    <mergeCell ref="F59:H5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C27ED-307E-4206-B654-95331224131D}">
  <dimension ref="A1:S24"/>
  <sheetViews>
    <sheetView workbookViewId="0">
      <selection activeCell="L10" sqref="L10"/>
    </sheetView>
  </sheetViews>
  <sheetFormatPr defaultRowHeight="15" x14ac:dyDescent="0.25"/>
  <cols>
    <col min="1" max="1" width="56" style="4" customWidth="1"/>
    <col min="2" max="2" width="12.7109375" style="4" customWidth="1"/>
    <col min="3" max="18" width="15.7109375" style="4" customWidth="1"/>
    <col min="19" max="256" width="9.140625" style="4"/>
    <col min="257" max="257" width="56" style="4" customWidth="1"/>
    <col min="258" max="258" width="12.7109375" style="4" customWidth="1"/>
    <col min="259" max="274" width="15.7109375" style="4" customWidth="1"/>
    <col min="275" max="512" width="9.140625" style="4"/>
    <col min="513" max="513" width="56" style="4" customWidth="1"/>
    <col min="514" max="514" width="12.7109375" style="4" customWidth="1"/>
    <col min="515" max="530" width="15.7109375" style="4" customWidth="1"/>
    <col min="531" max="768" width="9.140625" style="4"/>
    <col min="769" max="769" width="56" style="4" customWidth="1"/>
    <col min="770" max="770" width="12.7109375" style="4" customWidth="1"/>
    <col min="771" max="786" width="15.7109375" style="4" customWidth="1"/>
    <col min="787" max="1024" width="9.140625" style="4"/>
    <col min="1025" max="1025" width="56" style="4" customWidth="1"/>
    <col min="1026" max="1026" width="12.7109375" style="4" customWidth="1"/>
    <col min="1027" max="1042" width="15.7109375" style="4" customWidth="1"/>
    <col min="1043" max="1280" width="9.140625" style="4"/>
    <col min="1281" max="1281" width="56" style="4" customWidth="1"/>
    <col min="1282" max="1282" width="12.7109375" style="4" customWidth="1"/>
    <col min="1283" max="1298" width="15.7109375" style="4" customWidth="1"/>
    <col min="1299" max="1536" width="9.140625" style="4"/>
    <col min="1537" max="1537" width="56" style="4" customWidth="1"/>
    <col min="1538" max="1538" width="12.7109375" style="4" customWidth="1"/>
    <col min="1539" max="1554" width="15.7109375" style="4" customWidth="1"/>
    <col min="1555" max="1792" width="9.140625" style="4"/>
    <col min="1793" max="1793" width="56" style="4" customWidth="1"/>
    <col min="1794" max="1794" width="12.7109375" style="4" customWidth="1"/>
    <col min="1795" max="1810" width="15.7109375" style="4" customWidth="1"/>
    <col min="1811" max="2048" width="9.140625" style="4"/>
    <col min="2049" max="2049" width="56" style="4" customWidth="1"/>
    <col min="2050" max="2050" width="12.7109375" style="4" customWidth="1"/>
    <col min="2051" max="2066" width="15.7109375" style="4" customWidth="1"/>
    <col min="2067" max="2304" width="9.140625" style="4"/>
    <col min="2305" max="2305" width="56" style="4" customWidth="1"/>
    <col min="2306" max="2306" width="12.7109375" style="4" customWidth="1"/>
    <col min="2307" max="2322" width="15.7109375" style="4" customWidth="1"/>
    <col min="2323" max="2560" width="9.140625" style="4"/>
    <col min="2561" max="2561" width="56" style="4" customWidth="1"/>
    <col min="2562" max="2562" width="12.7109375" style="4" customWidth="1"/>
    <col min="2563" max="2578" width="15.7109375" style="4" customWidth="1"/>
    <col min="2579" max="2816" width="9.140625" style="4"/>
    <col min="2817" max="2817" width="56" style="4" customWidth="1"/>
    <col min="2818" max="2818" width="12.7109375" style="4" customWidth="1"/>
    <col min="2819" max="2834" width="15.7109375" style="4" customWidth="1"/>
    <col min="2835" max="3072" width="9.140625" style="4"/>
    <col min="3073" max="3073" width="56" style="4" customWidth="1"/>
    <col min="3074" max="3074" width="12.7109375" style="4" customWidth="1"/>
    <col min="3075" max="3090" width="15.7109375" style="4" customWidth="1"/>
    <col min="3091" max="3328" width="9.140625" style="4"/>
    <col min="3329" max="3329" width="56" style="4" customWidth="1"/>
    <col min="3330" max="3330" width="12.7109375" style="4" customWidth="1"/>
    <col min="3331" max="3346" width="15.7109375" style="4" customWidth="1"/>
    <col min="3347" max="3584" width="9.140625" style="4"/>
    <col min="3585" max="3585" width="56" style="4" customWidth="1"/>
    <col min="3586" max="3586" width="12.7109375" style="4" customWidth="1"/>
    <col min="3587" max="3602" width="15.7109375" style="4" customWidth="1"/>
    <col min="3603" max="3840" width="9.140625" style="4"/>
    <col min="3841" max="3841" width="56" style="4" customWidth="1"/>
    <col min="3842" max="3842" width="12.7109375" style="4" customWidth="1"/>
    <col min="3843" max="3858" width="15.7109375" style="4" customWidth="1"/>
    <col min="3859" max="4096" width="9.140625" style="4"/>
    <col min="4097" max="4097" width="56" style="4" customWidth="1"/>
    <col min="4098" max="4098" width="12.7109375" style="4" customWidth="1"/>
    <col min="4099" max="4114" width="15.7109375" style="4" customWidth="1"/>
    <col min="4115" max="4352" width="9.140625" style="4"/>
    <col min="4353" max="4353" width="56" style="4" customWidth="1"/>
    <col min="4354" max="4354" width="12.7109375" style="4" customWidth="1"/>
    <col min="4355" max="4370" width="15.7109375" style="4" customWidth="1"/>
    <col min="4371" max="4608" width="9.140625" style="4"/>
    <col min="4609" max="4609" width="56" style="4" customWidth="1"/>
    <col min="4610" max="4610" width="12.7109375" style="4" customWidth="1"/>
    <col min="4611" max="4626" width="15.7109375" style="4" customWidth="1"/>
    <col min="4627" max="4864" width="9.140625" style="4"/>
    <col min="4865" max="4865" width="56" style="4" customWidth="1"/>
    <col min="4866" max="4866" width="12.7109375" style="4" customWidth="1"/>
    <col min="4867" max="4882" width="15.7109375" style="4" customWidth="1"/>
    <col min="4883" max="5120" width="9.140625" style="4"/>
    <col min="5121" max="5121" width="56" style="4" customWidth="1"/>
    <col min="5122" max="5122" width="12.7109375" style="4" customWidth="1"/>
    <col min="5123" max="5138" width="15.7109375" style="4" customWidth="1"/>
    <col min="5139" max="5376" width="9.140625" style="4"/>
    <col min="5377" max="5377" width="56" style="4" customWidth="1"/>
    <col min="5378" max="5378" width="12.7109375" style="4" customWidth="1"/>
    <col min="5379" max="5394" width="15.7109375" style="4" customWidth="1"/>
    <col min="5395" max="5632" width="9.140625" style="4"/>
    <col min="5633" max="5633" width="56" style="4" customWidth="1"/>
    <col min="5634" max="5634" width="12.7109375" style="4" customWidth="1"/>
    <col min="5635" max="5650" width="15.7109375" style="4" customWidth="1"/>
    <col min="5651" max="5888" width="9.140625" style="4"/>
    <col min="5889" max="5889" width="56" style="4" customWidth="1"/>
    <col min="5890" max="5890" width="12.7109375" style="4" customWidth="1"/>
    <col min="5891" max="5906" width="15.7109375" style="4" customWidth="1"/>
    <col min="5907" max="6144" width="9.140625" style="4"/>
    <col min="6145" max="6145" width="56" style="4" customWidth="1"/>
    <col min="6146" max="6146" width="12.7109375" style="4" customWidth="1"/>
    <col min="6147" max="6162" width="15.7109375" style="4" customWidth="1"/>
    <col min="6163" max="6400" width="9.140625" style="4"/>
    <col min="6401" max="6401" width="56" style="4" customWidth="1"/>
    <col min="6402" max="6402" width="12.7109375" style="4" customWidth="1"/>
    <col min="6403" max="6418" width="15.7109375" style="4" customWidth="1"/>
    <col min="6419" max="6656" width="9.140625" style="4"/>
    <col min="6657" max="6657" width="56" style="4" customWidth="1"/>
    <col min="6658" max="6658" width="12.7109375" style="4" customWidth="1"/>
    <col min="6659" max="6674" width="15.7109375" style="4" customWidth="1"/>
    <col min="6675" max="6912" width="9.140625" style="4"/>
    <col min="6913" max="6913" width="56" style="4" customWidth="1"/>
    <col min="6914" max="6914" width="12.7109375" style="4" customWidth="1"/>
    <col min="6915" max="6930" width="15.7109375" style="4" customWidth="1"/>
    <col min="6931" max="7168" width="9.140625" style="4"/>
    <col min="7169" max="7169" width="56" style="4" customWidth="1"/>
    <col min="7170" max="7170" width="12.7109375" style="4" customWidth="1"/>
    <col min="7171" max="7186" width="15.7109375" style="4" customWidth="1"/>
    <col min="7187" max="7424" width="9.140625" style="4"/>
    <col min="7425" max="7425" width="56" style="4" customWidth="1"/>
    <col min="7426" max="7426" width="12.7109375" style="4" customWidth="1"/>
    <col min="7427" max="7442" width="15.7109375" style="4" customWidth="1"/>
    <col min="7443" max="7680" width="9.140625" style="4"/>
    <col min="7681" max="7681" width="56" style="4" customWidth="1"/>
    <col min="7682" max="7682" width="12.7109375" style="4" customWidth="1"/>
    <col min="7683" max="7698" width="15.7109375" style="4" customWidth="1"/>
    <col min="7699" max="7936" width="9.140625" style="4"/>
    <col min="7937" max="7937" width="56" style="4" customWidth="1"/>
    <col min="7938" max="7938" width="12.7109375" style="4" customWidth="1"/>
    <col min="7939" max="7954" width="15.7109375" style="4" customWidth="1"/>
    <col min="7955" max="8192" width="9.140625" style="4"/>
    <col min="8193" max="8193" width="56" style="4" customWidth="1"/>
    <col min="8194" max="8194" width="12.7109375" style="4" customWidth="1"/>
    <col min="8195" max="8210" width="15.7109375" style="4" customWidth="1"/>
    <col min="8211" max="8448" width="9.140625" style="4"/>
    <col min="8449" max="8449" width="56" style="4" customWidth="1"/>
    <col min="8450" max="8450" width="12.7109375" style="4" customWidth="1"/>
    <col min="8451" max="8466" width="15.7109375" style="4" customWidth="1"/>
    <col min="8467" max="8704" width="9.140625" style="4"/>
    <col min="8705" max="8705" width="56" style="4" customWidth="1"/>
    <col min="8706" max="8706" width="12.7109375" style="4" customWidth="1"/>
    <col min="8707" max="8722" width="15.7109375" style="4" customWidth="1"/>
    <col min="8723" max="8960" width="9.140625" style="4"/>
    <col min="8961" max="8961" width="56" style="4" customWidth="1"/>
    <col min="8962" max="8962" width="12.7109375" style="4" customWidth="1"/>
    <col min="8963" max="8978" width="15.7109375" style="4" customWidth="1"/>
    <col min="8979" max="9216" width="9.140625" style="4"/>
    <col min="9217" max="9217" width="56" style="4" customWidth="1"/>
    <col min="9218" max="9218" width="12.7109375" style="4" customWidth="1"/>
    <col min="9219" max="9234" width="15.7109375" style="4" customWidth="1"/>
    <col min="9235" max="9472" width="9.140625" style="4"/>
    <col min="9473" max="9473" width="56" style="4" customWidth="1"/>
    <col min="9474" max="9474" width="12.7109375" style="4" customWidth="1"/>
    <col min="9475" max="9490" width="15.7109375" style="4" customWidth="1"/>
    <col min="9491" max="9728" width="9.140625" style="4"/>
    <col min="9729" max="9729" width="56" style="4" customWidth="1"/>
    <col min="9730" max="9730" width="12.7109375" style="4" customWidth="1"/>
    <col min="9731" max="9746" width="15.7109375" style="4" customWidth="1"/>
    <col min="9747" max="9984" width="9.140625" style="4"/>
    <col min="9985" max="9985" width="56" style="4" customWidth="1"/>
    <col min="9986" max="9986" width="12.7109375" style="4" customWidth="1"/>
    <col min="9987" max="10002" width="15.7109375" style="4" customWidth="1"/>
    <col min="10003" max="10240" width="9.140625" style="4"/>
    <col min="10241" max="10241" width="56" style="4" customWidth="1"/>
    <col min="10242" max="10242" width="12.7109375" style="4" customWidth="1"/>
    <col min="10243" max="10258" width="15.7109375" style="4" customWidth="1"/>
    <col min="10259" max="10496" width="9.140625" style="4"/>
    <col min="10497" max="10497" width="56" style="4" customWidth="1"/>
    <col min="10498" max="10498" width="12.7109375" style="4" customWidth="1"/>
    <col min="10499" max="10514" width="15.7109375" style="4" customWidth="1"/>
    <col min="10515" max="10752" width="9.140625" style="4"/>
    <col min="10753" max="10753" width="56" style="4" customWidth="1"/>
    <col min="10754" max="10754" width="12.7109375" style="4" customWidth="1"/>
    <col min="10755" max="10770" width="15.7109375" style="4" customWidth="1"/>
    <col min="10771" max="11008" width="9.140625" style="4"/>
    <col min="11009" max="11009" width="56" style="4" customWidth="1"/>
    <col min="11010" max="11010" width="12.7109375" style="4" customWidth="1"/>
    <col min="11011" max="11026" width="15.7109375" style="4" customWidth="1"/>
    <col min="11027" max="11264" width="9.140625" style="4"/>
    <col min="11265" max="11265" width="56" style="4" customWidth="1"/>
    <col min="11266" max="11266" width="12.7109375" style="4" customWidth="1"/>
    <col min="11267" max="11282" width="15.7109375" style="4" customWidth="1"/>
    <col min="11283" max="11520" width="9.140625" style="4"/>
    <col min="11521" max="11521" width="56" style="4" customWidth="1"/>
    <col min="11522" max="11522" width="12.7109375" style="4" customWidth="1"/>
    <col min="11523" max="11538" width="15.7109375" style="4" customWidth="1"/>
    <col min="11539" max="11776" width="9.140625" style="4"/>
    <col min="11777" max="11777" width="56" style="4" customWidth="1"/>
    <col min="11778" max="11778" width="12.7109375" style="4" customWidth="1"/>
    <col min="11779" max="11794" width="15.7109375" style="4" customWidth="1"/>
    <col min="11795" max="12032" width="9.140625" style="4"/>
    <col min="12033" max="12033" width="56" style="4" customWidth="1"/>
    <col min="12034" max="12034" width="12.7109375" style="4" customWidth="1"/>
    <col min="12035" max="12050" width="15.7109375" style="4" customWidth="1"/>
    <col min="12051" max="12288" width="9.140625" style="4"/>
    <col min="12289" max="12289" width="56" style="4" customWidth="1"/>
    <col min="12290" max="12290" width="12.7109375" style="4" customWidth="1"/>
    <col min="12291" max="12306" width="15.7109375" style="4" customWidth="1"/>
    <col min="12307" max="12544" width="9.140625" style="4"/>
    <col min="12545" max="12545" width="56" style="4" customWidth="1"/>
    <col min="12546" max="12546" width="12.7109375" style="4" customWidth="1"/>
    <col min="12547" max="12562" width="15.7109375" style="4" customWidth="1"/>
    <col min="12563" max="12800" width="9.140625" style="4"/>
    <col min="12801" max="12801" width="56" style="4" customWidth="1"/>
    <col min="12802" max="12802" width="12.7109375" style="4" customWidth="1"/>
    <col min="12803" max="12818" width="15.7109375" style="4" customWidth="1"/>
    <col min="12819" max="13056" width="9.140625" style="4"/>
    <col min="13057" max="13057" width="56" style="4" customWidth="1"/>
    <col min="13058" max="13058" width="12.7109375" style="4" customWidth="1"/>
    <col min="13059" max="13074" width="15.7109375" style="4" customWidth="1"/>
    <col min="13075" max="13312" width="9.140625" style="4"/>
    <col min="13313" max="13313" width="56" style="4" customWidth="1"/>
    <col min="13314" max="13314" width="12.7109375" style="4" customWidth="1"/>
    <col min="13315" max="13330" width="15.7109375" style="4" customWidth="1"/>
    <col min="13331" max="13568" width="9.140625" style="4"/>
    <col min="13569" max="13569" width="56" style="4" customWidth="1"/>
    <col min="13570" max="13570" width="12.7109375" style="4" customWidth="1"/>
    <col min="13571" max="13586" width="15.7109375" style="4" customWidth="1"/>
    <col min="13587" max="13824" width="9.140625" style="4"/>
    <col min="13825" max="13825" width="56" style="4" customWidth="1"/>
    <col min="13826" max="13826" width="12.7109375" style="4" customWidth="1"/>
    <col min="13827" max="13842" width="15.7109375" style="4" customWidth="1"/>
    <col min="13843" max="14080" width="9.140625" style="4"/>
    <col min="14081" max="14081" width="56" style="4" customWidth="1"/>
    <col min="14082" max="14082" width="12.7109375" style="4" customWidth="1"/>
    <col min="14083" max="14098" width="15.7109375" style="4" customWidth="1"/>
    <col min="14099" max="14336" width="9.140625" style="4"/>
    <col min="14337" max="14337" width="56" style="4" customWidth="1"/>
    <col min="14338" max="14338" width="12.7109375" style="4" customWidth="1"/>
    <col min="14339" max="14354" width="15.7109375" style="4" customWidth="1"/>
    <col min="14355" max="14592" width="9.140625" style="4"/>
    <col min="14593" max="14593" width="56" style="4" customWidth="1"/>
    <col min="14594" max="14594" width="12.7109375" style="4" customWidth="1"/>
    <col min="14595" max="14610" width="15.7109375" style="4" customWidth="1"/>
    <col min="14611" max="14848" width="9.140625" style="4"/>
    <col min="14849" max="14849" width="56" style="4" customWidth="1"/>
    <col min="14850" max="14850" width="12.7109375" style="4" customWidth="1"/>
    <col min="14851" max="14866" width="15.7109375" style="4" customWidth="1"/>
    <col min="14867" max="15104" width="9.140625" style="4"/>
    <col min="15105" max="15105" width="56" style="4" customWidth="1"/>
    <col min="15106" max="15106" width="12.7109375" style="4" customWidth="1"/>
    <col min="15107" max="15122" width="15.7109375" style="4" customWidth="1"/>
    <col min="15123" max="15360" width="9.140625" style="4"/>
    <col min="15361" max="15361" width="56" style="4" customWidth="1"/>
    <col min="15362" max="15362" width="12.7109375" style="4" customWidth="1"/>
    <col min="15363" max="15378" width="15.7109375" style="4" customWidth="1"/>
    <col min="15379" max="15616" width="9.140625" style="4"/>
    <col min="15617" max="15617" width="56" style="4" customWidth="1"/>
    <col min="15618" max="15618" width="12.7109375" style="4" customWidth="1"/>
    <col min="15619" max="15634" width="15.7109375" style="4" customWidth="1"/>
    <col min="15635" max="15872" width="9.140625" style="4"/>
    <col min="15873" max="15873" width="56" style="4" customWidth="1"/>
    <col min="15874" max="15874" width="12.7109375" style="4" customWidth="1"/>
    <col min="15875" max="15890" width="15.7109375" style="4" customWidth="1"/>
    <col min="15891" max="16128" width="9.140625" style="4"/>
    <col min="16129" max="16129" width="56" style="4" customWidth="1"/>
    <col min="16130" max="16130" width="12.7109375" style="4" customWidth="1"/>
    <col min="16131" max="16146" width="15.7109375" style="4" customWidth="1"/>
    <col min="16147" max="16384" width="9.140625" style="4"/>
  </cols>
  <sheetData>
    <row r="1" spans="1:19" ht="33.75" x14ac:dyDescent="0.5">
      <c r="A1" s="75" t="s">
        <v>127</v>
      </c>
      <c r="B1" s="7"/>
      <c r="C1" s="7"/>
      <c r="D1" s="7"/>
      <c r="E1" s="7"/>
      <c r="F1" s="7"/>
      <c r="G1" s="7"/>
      <c r="H1" s="7"/>
      <c r="I1" s="7"/>
      <c r="J1" s="7"/>
      <c r="K1" s="7"/>
      <c r="L1" s="7"/>
      <c r="M1" s="7"/>
      <c r="N1" s="7"/>
      <c r="O1" s="7"/>
      <c r="P1" s="7"/>
      <c r="Q1" s="7"/>
      <c r="R1" s="7"/>
      <c r="S1" s="7"/>
    </row>
    <row r="2" spans="1:19" ht="15.75" x14ac:dyDescent="0.25">
      <c r="A2" s="29" t="s">
        <v>128</v>
      </c>
      <c r="B2" s="7"/>
      <c r="C2" s="7"/>
      <c r="D2" s="7"/>
      <c r="E2" s="7"/>
      <c r="F2" s="7"/>
      <c r="G2" s="7"/>
      <c r="H2" s="7"/>
      <c r="I2" s="7"/>
      <c r="J2" s="7"/>
      <c r="K2" s="7"/>
      <c r="L2" s="7"/>
      <c r="M2" s="7"/>
      <c r="N2" s="7"/>
      <c r="O2" s="7"/>
      <c r="P2" s="7"/>
      <c r="Q2" s="7"/>
      <c r="R2" s="7"/>
      <c r="S2" s="7"/>
    </row>
    <row r="3" spans="1:19" ht="32.25" customHeight="1" x14ac:dyDescent="0.25">
      <c r="A3" s="593" t="s">
        <v>129</v>
      </c>
      <c r="B3" s="594"/>
      <c r="C3" s="594"/>
      <c r="D3" s="594"/>
      <c r="E3" s="594"/>
      <c r="F3" s="594"/>
      <c r="G3" s="594"/>
      <c r="H3" s="594"/>
      <c r="I3" s="594"/>
      <c r="J3" s="594"/>
      <c r="K3" s="594"/>
      <c r="L3" s="7"/>
      <c r="M3" s="7"/>
      <c r="N3" s="7"/>
      <c r="O3" s="7"/>
      <c r="P3" s="7"/>
      <c r="Q3" s="7"/>
      <c r="R3" s="7"/>
      <c r="S3" s="7"/>
    </row>
    <row r="4" spans="1:19" ht="18" x14ac:dyDescent="0.25">
      <c r="A4" s="21"/>
      <c r="B4" s="7"/>
      <c r="C4" s="7"/>
      <c r="D4" s="7"/>
      <c r="E4" s="7"/>
      <c r="F4" s="7"/>
      <c r="G4" s="7"/>
      <c r="H4" s="7"/>
      <c r="I4" s="7"/>
      <c r="J4" s="7"/>
      <c r="K4" s="7"/>
      <c r="L4" s="7"/>
      <c r="M4" s="7"/>
      <c r="N4" s="7"/>
      <c r="O4" s="7"/>
      <c r="P4" s="7"/>
      <c r="Q4" s="7"/>
      <c r="R4" s="7"/>
      <c r="S4" s="7"/>
    </row>
    <row r="5" spans="1:19" ht="15.75" x14ac:dyDescent="0.25">
      <c r="A5" s="29" t="s">
        <v>45</v>
      </c>
      <c r="B5" s="7"/>
      <c r="C5" s="23">
        <v>0</v>
      </c>
      <c r="D5" s="23">
        <v>1</v>
      </c>
      <c r="E5" s="23">
        <v>2</v>
      </c>
      <c r="F5" s="23">
        <v>3</v>
      </c>
      <c r="G5" s="23">
        <v>4</v>
      </c>
      <c r="H5" s="23">
        <v>5</v>
      </c>
      <c r="I5" s="23">
        <v>6</v>
      </c>
      <c r="J5" s="23">
        <v>7</v>
      </c>
      <c r="K5" s="23">
        <v>8</v>
      </c>
      <c r="L5" s="23">
        <v>9</v>
      </c>
      <c r="M5" s="23">
        <v>10</v>
      </c>
      <c r="N5" s="23">
        <v>11</v>
      </c>
      <c r="O5" s="23">
        <v>12</v>
      </c>
      <c r="P5" s="23">
        <v>13</v>
      </c>
      <c r="Q5" s="23">
        <v>14</v>
      </c>
      <c r="R5" s="23">
        <v>15</v>
      </c>
      <c r="S5" s="7"/>
    </row>
    <row r="6" spans="1:19" x14ac:dyDescent="0.25">
      <c r="A6" s="23"/>
      <c r="B6" s="7"/>
      <c r="C6" s="23"/>
      <c r="D6" s="23"/>
      <c r="E6" s="23"/>
      <c r="F6" s="23"/>
      <c r="G6" s="23"/>
      <c r="H6" s="23"/>
      <c r="I6" s="23"/>
      <c r="J6" s="23"/>
      <c r="K6" s="23"/>
      <c r="L6" s="23"/>
      <c r="M6" s="23"/>
      <c r="N6" s="23"/>
      <c r="O6" s="23"/>
      <c r="P6" s="23"/>
      <c r="Q6" s="23"/>
      <c r="R6" s="23"/>
      <c r="S6" s="7"/>
    </row>
    <row r="7" spans="1:19" ht="15.75" x14ac:dyDescent="0.25">
      <c r="A7" s="29" t="s">
        <v>130</v>
      </c>
      <c r="B7" s="7"/>
      <c r="C7" s="7"/>
      <c r="D7" s="7"/>
      <c r="E7" s="7"/>
      <c r="F7" s="7"/>
      <c r="G7" s="7"/>
      <c r="H7" s="7"/>
      <c r="I7" s="7"/>
      <c r="J7" s="7"/>
      <c r="K7" s="7"/>
      <c r="L7" s="7"/>
      <c r="M7" s="7"/>
      <c r="N7" s="7"/>
      <c r="O7" s="7"/>
      <c r="P7" s="7"/>
      <c r="Q7" s="7"/>
      <c r="R7" s="7"/>
      <c r="S7" s="7"/>
    </row>
    <row r="8" spans="1:19" x14ac:dyDescent="0.25">
      <c r="A8" s="7" t="s">
        <v>131</v>
      </c>
      <c r="B8" s="7"/>
      <c r="C8" s="31">
        <f>Exploitatieberekening!N113</f>
        <v>0</v>
      </c>
      <c r="D8" s="31" t="e">
        <f>Exploitatieberekening!O113</f>
        <v>#DIV/0!</v>
      </c>
      <c r="E8" s="31" t="e">
        <f>Exploitatieberekening!P113</f>
        <v>#DIV/0!</v>
      </c>
      <c r="F8" s="31" t="e">
        <f>Exploitatieberekening!Q113</f>
        <v>#DIV/0!</v>
      </c>
      <c r="G8" s="31" t="e">
        <f>Exploitatieberekening!R113</f>
        <v>#DIV/0!</v>
      </c>
      <c r="H8" s="31" t="e">
        <f>Exploitatieberekening!S113</f>
        <v>#DIV/0!</v>
      </c>
      <c r="I8" s="31" t="e">
        <f>Exploitatieberekening!T113</f>
        <v>#DIV/0!</v>
      </c>
      <c r="J8" s="31" t="e">
        <f>Exploitatieberekening!U113</f>
        <v>#DIV/0!</v>
      </c>
      <c r="K8" s="31" t="e">
        <f>Exploitatieberekening!V113</f>
        <v>#DIV/0!</v>
      </c>
      <c r="L8" s="31" t="e">
        <f>Exploitatieberekening!W113</f>
        <v>#DIV/0!</v>
      </c>
      <c r="M8" s="31" t="e">
        <f>Exploitatieberekening!X113</f>
        <v>#DIV/0!</v>
      </c>
      <c r="N8" s="31" t="e">
        <f>Exploitatieberekening!Y113</f>
        <v>#DIV/0!</v>
      </c>
      <c r="O8" s="31" t="e">
        <f>Exploitatieberekening!Z113</f>
        <v>#DIV/0!</v>
      </c>
      <c r="P8" s="31" t="e">
        <f>Exploitatieberekening!AA113</f>
        <v>#DIV/0!</v>
      </c>
      <c r="Q8" s="31" t="e">
        <f>Exploitatieberekening!AB113</f>
        <v>#DIV/0!</v>
      </c>
      <c r="R8" s="31" t="e">
        <f>Exploitatieberekening!AC113</f>
        <v>#DIV/0!</v>
      </c>
      <c r="S8" s="7"/>
    </row>
    <row r="9" spans="1:19" x14ac:dyDescent="0.25">
      <c r="A9" s="7" t="s">
        <v>132</v>
      </c>
      <c r="B9" s="76" t="e">
        <f>IF(Exploitatieberekening!B10=8,IRR(C8:K8,0%),IF(Exploitatieberekening!B10=12,IRR(C8:O8,0%),IF(Exploitatieberekening!B10=15,IRR(C8:R8,0%),)))</f>
        <v>#VALUE!</v>
      </c>
      <c r="C9" s="7"/>
      <c r="D9" s="7"/>
      <c r="E9" s="7"/>
      <c r="F9" s="7"/>
      <c r="G9" s="7"/>
      <c r="H9" s="7"/>
      <c r="I9" s="7"/>
      <c r="J9" s="7"/>
      <c r="K9" s="7"/>
      <c r="L9" s="7"/>
      <c r="M9" s="7"/>
      <c r="N9" s="7"/>
      <c r="O9" s="7"/>
      <c r="P9" s="7"/>
      <c r="Q9" s="7"/>
      <c r="R9" s="7"/>
      <c r="S9" s="7"/>
    </row>
    <row r="10" spans="1:19" x14ac:dyDescent="0.25">
      <c r="A10" s="7" t="s">
        <v>133</v>
      </c>
      <c r="B10" s="23"/>
      <c r="C10" s="31">
        <f>Exploitatieberekening!N113</f>
        <v>0</v>
      </c>
      <c r="D10" s="31" t="e">
        <f>IF(Exploitatieberekening!$B$10=8,SUM($D$8:$K$8)/8,IF(Exploitatieberekening!$B$10=12,SUM($D$8:$O$8)/12,IF(Exploitatieberekening!$B$10=15,SUM($D$8:$R$8)/15,0)))</f>
        <v>#DIV/0!</v>
      </c>
      <c r="E10" s="31" t="e">
        <f>IF(Exploitatieberekening!$B$10=8,SUM($D$8:$K$8)/8,IF(Exploitatieberekening!$B$10=12,SUM($D$8:$O$8)/12,IF(Exploitatieberekening!$B$10=15,SUM($D$8:$R$8)/15,0)))</f>
        <v>#DIV/0!</v>
      </c>
      <c r="F10" s="31" t="e">
        <f>IF(Exploitatieberekening!$B$10=8,SUM($D$8:$K$8)/8,IF(Exploitatieberekening!$B$10=12,SUM($D$8:$O$8)/12,IF(Exploitatieberekening!$B$10=15,SUM($D$8:$R$8)/15,0)))</f>
        <v>#DIV/0!</v>
      </c>
      <c r="G10" s="31" t="e">
        <f>IF(Exploitatieberekening!$B$10=8,SUM($D$8:$K$8)/8,IF(Exploitatieberekening!$B$10=12,SUM($D$8:$O$8)/12,IF(Exploitatieberekening!$B$10=15,SUM($D$8:$R$8)/15,0)))</f>
        <v>#DIV/0!</v>
      </c>
      <c r="H10" s="31" t="e">
        <f>IF(Exploitatieberekening!$B$10=8,SUM($D$8:$K$8)/8,IF(Exploitatieberekening!$B$10=12,SUM($D$8:$O$8)/12,IF(Exploitatieberekening!$B$10=15,SUM($D$8:$R$8)/15,0)))</f>
        <v>#DIV/0!</v>
      </c>
      <c r="I10" s="31" t="e">
        <f>IF(Exploitatieberekening!$B$10=8,SUM($D$8:$K$8)/8,IF(Exploitatieberekening!$B$10=12,SUM($D$8:$O$8)/12,IF(Exploitatieberekening!$B$10=15,SUM($D$8:$R$8)/15,0)))</f>
        <v>#DIV/0!</v>
      </c>
      <c r="J10" s="31" t="e">
        <f>IF(Exploitatieberekening!$B$10=8,SUM($D$8:$K$8)/8,IF(Exploitatieberekening!$B$10=12,SUM($D$8:$O$8)/12,IF(Exploitatieberekening!$B$10=15,SUM($D$8:$R$8)/15,0)))</f>
        <v>#DIV/0!</v>
      </c>
      <c r="K10" s="31" t="e">
        <f>IF(Exploitatieberekening!$B$10=8,SUM($D$8:$K$8)/8,IF(Exploitatieberekening!$B$10=12,SUM($D$8:$O$8)/12,IF(Exploitatieberekening!$B$10=15,SUM($D$8:$R$8)/15,0)))</f>
        <v>#DIV/0!</v>
      </c>
      <c r="L10" s="31" t="e">
        <f>IF(Exploitatieberekening!$B$10=8,SUM($D$8:$K$8)/8,IF(Exploitatieberekening!$B$10=12,SUM($D$8:$O$8)/12,IF(Exploitatieberekening!$B$10=15,SUM($D$8:$R$8)/15,0)))</f>
        <v>#DIV/0!</v>
      </c>
      <c r="M10" s="31" t="e">
        <f>IF(Exploitatieberekening!$B$10=8,SUM($D$8:$K$8)/8,IF(Exploitatieberekening!$B$10=12,SUM($D$8:$O$8)/12,IF(Exploitatieberekening!$B$10=15,SUM($D$8:$R$8)/15,0)))</f>
        <v>#DIV/0!</v>
      </c>
      <c r="N10" s="31" t="e">
        <f>IF(Exploitatieberekening!$B$10=8,SUM($D$8:$K$8)/8,IF(Exploitatieberekening!$B$10=12,SUM($D$8:$O$8)/12,IF(Exploitatieberekening!$B$10=15,SUM($D$8:$R$8)/15,0)))</f>
        <v>#DIV/0!</v>
      </c>
      <c r="O10" s="31" t="e">
        <f>IF(Exploitatieberekening!$B$10=8,SUM($D$8:$K$8)/8,IF(Exploitatieberekening!$B$10=12,SUM($D$8:$O$8)/12,IF(Exploitatieberekening!$B$10=15,SUM($D$8:$R$8)/15,0)))</f>
        <v>#DIV/0!</v>
      </c>
      <c r="P10" s="31" t="e">
        <f>IF(Exploitatieberekening!$B$10=8,SUM($D$8:$K$8)/8,IF(Exploitatieberekening!$B$10=12,SUM($D$8:$O$8)/12,IF(Exploitatieberekening!$B$10=15,SUM($D$8:$R$8)/15,0)))</f>
        <v>#DIV/0!</v>
      </c>
      <c r="Q10" s="31" t="e">
        <f>IF(Exploitatieberekening!$B$10=8,SUM($D$8:$K$8)/8,IF(Exploitatieberekening!$B$10=12,SUM($D$8:$O$8)/12,IF(Exploitatieberekening!$B$10=15,SUM($D$8:$R$8)/15,0)))</f>
        <v>#DIV/0!</v>
      </c>
      <c r="R10" s="31" t="e">
        <f>IF(Exploitatieberekening!$B$10=8,SUM($D$8:$K$8)/8,IF(Exploitatieberekening!$B$10=12,SUM($D$8:$O$8)/12,IF(Exploitatieberekening!$B$10=15,SUM($D$8:$R$8)/15,0)))</f>
        <v>#DIV/0!</v>
      </c>
      <c r="S10" s="7"/>
    </row>
    <row r="11" spans="1:19" x14ac:dyDescent="0.25">
      <c r="A11" s="7" t="s">
        <v>134</v>
      </c>
      <c r="B11" s="76" t="e">
        <f>IF(Exploitatieberekening!B10=8,IRR(C10:K10,0%),IF(Exploitatieberekening!B10=12,IRR(C10:O10,0%),IF(Exploitatieberekening!B10=15,IRR(C10:R10,0%),)))</f>
        <v>#VALUE!</v>
      </c>
      <c r="C11" s="7"/>
      <c r="D11" s="7"/>
      <c r="E11" s="7"/>
      <c r="F11" s="7"/>
      <c r="G11" s="7"/>
      <c r="H11" s="7"/>
      <c r="I11" s="7"/>
      <c r="J11" s="7"/>
      <c r="K11" s="7"/>
      <c r="L11" s="7"/>
      <c r="M11" s="7"/>
      <c r="N11" s="7"/>
      <c r="O11" s="7"/>
      <c r="P11" s="7"/>
      <c r="Q11" s="7"/>
      <c r="R11" s="7"/>
      <c r="S11" s="7"/>
    </row>
    <row r="12" spans="1:19" x14ac:dyDescent="0.25">
      <c r="A12" s="23"/>
      <c r="B12" s="76"/>
      <c r="C12" s="7"/>
      <c r="D12" s="7"/>
      <c r="E12" s="7"/>
      <c r="F12" s="7"/>
      <c r="G12" s="7"/>
      <c r="H12" s="7"/>
      <c r="I12" s="7"/>
      <c r="J12" s="7"/>
      <c r="K12" s="7"/>
      <c r="L12" s="7"/>
      <c r="M12" s="7"/>
      <c r="N12" s="7"/>
      <c r="O12" s="7"/>
      <c r="P12" s="7"/>
      <c r="Q12" s="7"/>
      <c r="R12" s="7"/>
      <c r="S12" s="7"/>
    </row>
    <row r="13" spans="1:19" ht="15.75" x14ac:dyDescent="0.25">
      <c r="A13" s="29" t="s">
        <v>135</v>
      </c>
      <c r="B13" s="76"/>
      <c r="C13" s="7"/>
      <c r="D13" s="7"/>
      <c r="E13" s="7"/>
      <c r="F13" s="7"/>
      <c r="G13" s="7"/>
      <c r="H13" s="7"/>
      <c r="I13" s="7"/>
      <c r="J13" s="7"/>
      <c r="K13" s="7"/>
      <c r="L13" s="7"/>
      <c r="M13" s="7"/>
      <c r="N13" s="7"/>
      <c r="O13" s="7"/>
      <c r="P13" s="7"/>
      <c r="Q13" s="7"/>
      <c r="R13" s="7"/>
      <c r="S13" s="7"/>
    </row>
    <row r="14" spans="1:19" x14ac:dyDescent="0.25">
      <c r="A14" s="7" t="s">
        <v>136</v>
      </c>
      <c r="B14" s="7"/>
      <c r="C14" s="31" t="e">
        <f>Exploitatieberekening!N118</f>
        <v>#DIV/0!</v>
      </c>
      <c r="D14" s="31" t="e">
        <f>Exploitatieberekening!O118</f>
        <v>#DIV/0!</v>
      </c>
      <c r="E14" s="31" t="e">
        <f>Exploitatieberekening!P118</f>
        <v>#DIV/0!</v>
      </c>
      <c r="F14" s="31" t="e">
        <f>Exploitatieberekening!Q118</f>
        <v>#DIV/0!</v>
      </c>
      <c r="G14" s="31" t="e">
        <f>Exploitatieberekening!R118</f>
        <v>#DIV/0!</v>
      </c>
      <c r="H14" s="31" t="e">
        <f>Exploitatieberekening!S118</f>
        <v>#DIV/0!</v>
      </c>
      <c r="I14" s="31" t="e">
        <f>Exploitatieberekening!T118</f>
        <v>#DIV/0!</v>
      </c>
      <c r="J14" s="31" t="e">
        <f>Exploitatieberekening!U118</f>
        <v>#DIV/0!</v>
      </c>
      <c r="K14" s="31" t="e">
        <f>Exploitatieberekening!V118</f>
        <v>#DIV/0!</v>
      </c>
      <c r="L14" s="31" t="e">
        <f>Exploitatieberekening!W118</f>
        <v>#DIV/0!</v>
      </c>
      <c r="M14" s="31" t="e">
        <f>Exploitatieberekening!X118</f>
        <v>#DIV/0!</v>
      </c>
      <c r="N14" s="31" t="e">
        <f>Exploitatieberekening!Y118</f>
        <v>#DIV/0!</v>
      </c>
      <c r="O14" s="31" t="e">
        <f>Exploitatieberekening!Z118</f>
        <v>#DIV/0!</v>
      </c>
      <c r="P14" s="31" t="e">
        <f>Exploitatieberekening!AA118</f>
        <v>#DIV/0!</v>
      </c>
      <c r="Q14" s="31" t="e">
        <f>Exploitatieberekening!AB118</f>
        <v>#DIV/0!</v>
      </c>
      <c r="R14" s="31" t="e">
        <f>Exploitatieberekening!AC118</f>
        <v>#DIV/0!</v>
      </c>
      <c r="S14" s="7"/>
    </row>
    <row r="15" spans="1:19" x14ac:dyDescent="0.25">
      <c r="A15" s="7" t="s">
        <v>132</v>
      </c>
      <c r="B15" s="76" t="e">
        <f>IF(Exploitatieberekening!B10=8,IRR(C14:K14,0%),IF(Exploitatieberekening!B10=12,IRR(C14:O14,0%),IF(Exploitatieberekening!B10=15,IRR(C14:R14,0%),)))</f>
        <v>#VALUE!</v>
      </c>
      <c r="C15" s="7"/>
      <c r="D15" s="7"/>
      <c r="E15" s="7"/>
      <c r="F15" s="7"/>
      <c r="G15" s="7"/>
      <c r="H15" s="7"/>
      <c r="I15" s="7"/>
      <c r="J15" s="7"/>
      <c r="K15" s="7"/>
      <c r="L15" s="7"/>
      <c r="M15" s="7"/>
      <c r="N15" s="7"/>
      <c r="O15" s="7"/>
      <c r="P15" s="7"/>
      <c r="Q15" s="7"/>
      <c r="R15" s="7"/>
      <c r="S15" s="7"/>
    </row>
    <row r="16" spans="1:19" x14ac:dyDescent="0.25">
      <c r="A16" s="7" t="s">
        <v>137</v>
      </c>
      <c r="B16" s="7"/>
      <c r="C16" s="31" t="e">
        <f>Exploitatieberekening!N118</f>
        <v>#DIV/0!</v>
      </c>
      <c r="D16" s="31" t="e">
        <f>IF(Exploitatieberekening!$B$10=8,SUM($D$14:$K$14)/8,IF(Exploitatieberekening!$B$10=12,SUM($D$14:$O$14)/12,IF(Exploitatieberekening!$B$10=15,SUM($D$14:$R$14)/15,0)))</f>
        <v>#DIV/0!</v>
      </c>
      <c r="E16" s="31" t="e">
        <f>IF(Exploitatieberekening!$B$10=8,SUM($D$14:$K$14)/8,IF(Exploitatieberekening!$B$10=12,SUM($D$14:$O$14)/12,IF(Exploitatieberekening!$B$10=15,SUM($D$14:$R$14)/15,0)))</f>
        <v>#DIV/0!</v>
      </c>
      <c r="F16" s="31" t="e">
        <f>IF(Exploitatieberekening!$B$10=8,SUM($D$14:$K$14)/8,IF(Exploitatieberekening!$B$10=12,SUM($D$14:$O$14)/12,IF(Exploitatieberekening!$B$10=15,SUM($D$14:$R$14)/15,0)))</f>
        <v>#DIV/0!</v>
      </c>
      <c r="G16" s="31" t="e">
        <f>IF(Exploitatieberekening!$B$10=8,SUM($D$14:$K$14)/8,IF(Exploitatieberekening!$B$10=12,SUM($D$14:$O$14)/12,IF(Exploitatieberekening!$B$10=15,SUM($D$14:$R$14)/15,0)))</f>
        <v>#DIV/0!</v>
      </c>
      <c r="H16" s="31" t="e">
        <f>IF(Exploitatieberekening!$B$10=8,SUM($D$14:$K$14)/8,IF(Exploitatieberekening!$B$10=12,SUM($D$14:$O$14)/12,IF(Exploitatieberekening!$B$10=15,SUM($D$14:$R$14)/15,0)))</f>
        <v>#DIV/0!</v>
      </c>
      <c r="I16" s="31" t="e">
        <f>IF(Exploitatieberekening!$B$10=8,SUM($D$14:$K$14)/8,IF(Exploitatieberekening!$B$10=12,SUM($D$14:$O$14)/12,IF(Exploitatieberekening!$B$10=15,SUM($D$14:$R$14)/15,0)))</f>
        <v>#DIV/0!</v>
      </c>
      <c r="J16" s="31" t="e">
        <f>IF(Exploitatieberekening!$B$10=8,SUM($D$14:$K$14)/8,IF(Exploitatieberekening!$B$10=12,SUM($D$14:$O$14)/12,IF(Exploitatieberekening!$B$10=15,SUM($D$14:$R$14)/15,0)))</f>
        <v>#DIV/0!</v>
      </c>
      <c r="K16" s="31" t="e">
        <f>IF(Exploitatieberekening!$B$10=8,SUM($D$14:$K$14)/8,IF(Exploitatieberekening!$B$10=12,SUM($D$14:$O$14)/12,IF(Exploitatieberekening!$B$10=15,SUM($D$14:$R$14)/15,0)))</f>
        <v>#DIV/0!</v>
      </c>
      <c r="L16" s="31" t="e">
        <f>IF(Exploitatieberekening!$B$10=8,SUM($D$14:$K$14)/8,IF(Exploitatieberekening!$B$10=12,SUM($D$14:$O$14)/12,IF(Exploitatieberekening!$B$10=15,SUM($D$14:$R$14)/15,0)))</f>
        <v>#DIV/0!</v>
      </c>
      <c r="M16" s="31" t="e">
        <f>IF(Exploitatieberekening!$B$10=8,SUM($D$14:$K$14)/8,IF(Exploitatieberekening!$B$10=12,SUM($D$14:$O$14)/12,IF(Exploitatieberekening!$B$10=15,SUM($D$14:$R$14)/15,0)))</f>
        <v>#DIV/0!</v>
      </c>
      <c r="N16" s="31" t="e">
        <f>IF(Exploitatieberekening!$B$10=8,SUM($D$14:$K$14)/8,IF(Exploitatieberekening!$B$10=12,SUM($D$14:$O$14)/12,IF(Exploitatieberekening!$B$10=15,SUM($D$14:$R$14)/15,0)))</f>
        <v>#DIV/0!</v>
      </c>
      <c r="O16" s="31" t="e">
        <f>IF(Exploitatieberekening!$B$10=8,SUM($D$14:$K$14)/8,IF(Exploitatieberekening!$B$10=12,SUM($D$14:$O$14)/12,IF(Exploitatieberekening!$B$10=15,SUM($D$14:$R$14)/15,0)))</f>
        <v>#DIV/0!</v>
      </c>
      <c r="P16" s="31" t="e">
        <f>IF(Exploitatieberekening!$B$10=8,SUM($D$14:$K$14)/8,IF(Exploitatieberekening!$B$10=12,SUM($D$14:$O$14)/12,IF(Exploitatieberekening!$B$10=15,SUM($D$14:$R$14)/15,0)))</f>
        <v>#DIV/0!</v>
      </c>
      <c r="Q16" s="31" t="e">
        <f>IF(Exploitatieberekening!$B$10=8,SUM($D$14:$K$14)/8,IF(Exploitatieberekening!$B$10=12,SUM($D$14:$O$14)/12,IF(Exploitatieberekening!$B$10=15,SUM($D$14:$R$14)/15,0)))</f>
        <v>#DIV/0!</v>
      </c>
      <c r="R16" s="31" t="e">
        <f>IF(Exploitatieberekening!$B$10=8,SUM($D$14:$K$14)/8,IF(Exploitatieberekening!$B$10=12,SUM($D$14:$O$14)/12,IF(Exploitatieberekening!$B$10=15,SUM($D$14:$R$14)/15,0)))</f>
        <v>#DIV/0!</v>
      </c>
      <c r="S16" s="7"/>
    </row>
    <row r="17" spans="1:19" x14ac:dyDescent="0.25">
      <c r="A17" s="7" t="s">
        <v>138</v>
      </c>
      <c r="B17" s="76" t="e">
        <f>IF(Exploitatieberekening!B10=8,IRR(C16:K16,0%),IF(Exploitatieberekening!B10=12,IRR(C16:O16,0%),IF(Exploitatieberekening!B10=15,IRR(C16:R16,0%),)))</f>
        <v>#VALUE!</v>
      </c>
      <c r="C17" s="7"/>
      <c r="D17" s="7"/>
      <c r="E17" s="7"/>
      <c r="F17" s="7"/>
      <c r="G17" s="7"/>
      <c r="H17" s="7"/>
      <c r="I17" s="7"/>
      <c r="J17" s="7"/>
      <c r="K17" s="7"/>
      <c r="L17" s="7"/>
      <c r="M17" s="7"/>
      <c r="N17" s="7"/>
      <c r="O17" s="7"/>
      <c r="P17" s="7"/>
      <c r="Q17" s="7"/>
      <c r="R17" s="7"/>
      <c r="S17" s="7"/>
    </row>
    <row r="18" spans="1:19" x14ac:dyDescent="0.25">
      <c r="A18" s="7"/>
      <c r="B18" s="23"/>
      <c r="C18" s="7"/>
      <c r="D18" s="7"/>
      <c r="E18" s="7"/>
      <c r="F18" s="7"/>
      <c r="G18" s="7"/>
      <c r="H18" s="7"/>
      <c r="I18" s="7"/>
      <c r="J18" s="7"/>
      <c r="K18" s="7"/>
      <c r="L18" s="7"/>
      <c r="M18" s="7"/>
      <c r="N18" s="7"/>
      <c r="O18" s="7"/>
      <c r="P18" s="7"/>
      <c r="Q18" s="7"/>
      <c r="R18" s="7"/>
      <c r="S18" s="7"/>
    </row>
    <row r="19" spans="1:19" x14ac:dyDescent="0.25">
      <c r="A19" s="7"/>
      <c r="B19" s="7"/>
      <c r="C19" s="7"/>
      <c r="D19" s="7"/>
      <c r="E19" s="7"/>
      <c r="F19" s="7"/>
      <c r="G19" s="7"/>
      <c r="H19" s="7"/>
      <c r="I19" s="7"/>
      <c r="J19" s="7"/>
      <c r="K19" s="7"/>
      <c r="L19" s="7"/>
      <c r="M19" s="7"/>
      <c r="N19" s="7"/>
      <c r="O19" s="7"/>
      <c r="P19" s="7"/>
      <c r="Q19" s="7"/>
      <c r="R19" s="7"/>
      <c r="S19" s="7"/>
    </row>
    <row r="20" spans="1:19" x14ac:dyDescent="0.25">
      <c r="A20" s="7"/>
      <c r="B20" s="7"/>
      <c r="C20" s="7"/>
      <c r="D20" s="7"/>
      <c r="E20" s="7"/>
      <c r="F20" s="7"/>
      <c r="G20" s="7"/>
      <c r="H20" s="7"/>
      <c r="I20" s="7"/>
      <c r="J20" s="7"/>
      <c r="K20" s="7"/>
      <c r="L20" s="7"/>
      <c r="M20" s="7"/>
      <c r="N20" s="7"/>
      <c r="O20" s="7"/>
      <c r="P20" s="7"/>
      <c r="Q20" s="7"/>
      <c r="R20" s="7"/>
      <c r="S20" s="7"/>
    </row>
    <row r="21" spans="1:19" x14ac:dyDescent="0.25">
      <c r="A21" s="7"/>
      <c r="B21" s="7"/>
      <c r="C21" s="7"/>
      <c r="D21" s="7"/>
      <c r="E21" s="7"/>
      <c r="F21" s="7"/>
      <c r="G21" s="7"/>
      <c r="H21" s="7"/>
      <c r="I21" s="7"/>
      <c r="J21" s="7"/>
      <c r="K21" s="7"/>
      <c r="L21" s="7"/>
      <c r="M21" s="7"/>
      <c r="N21" s="7"/>
      <c r="O21" s="7"/>
      <c r="P21" s="7"/>
      <c r="Q21" s="7"/>
      <c r="R21" s="7"/>
      <c r="S21" s="7"/>
    </row>
    <row r="22" spans="1:19" x14ac:dyDescent="0.25">
      <c r="A22" s="7"/>
      <c r="B22" s="7"/>
      <c r="C22" s="7"/>
      <c r="D22" s="7"/>
      <c r="E22" s="7"/>
      <c r="F22" s="7"/>
      <c r="G22" s="7"/>
      <c r="H22" s="7"/>
      <c r="I22" s="7"/>
      <c r="J22" s="7"/>
      <c r="K22" s="7"/>
      <c r="L22" s="7"/>
      <c r="M22" s="7"/>
      <c r="N22" s="7"/>
      <c r="O22" s="7"/>
      <c r="P22" s="7"/>
      <c r="Q22" s="7"/>
      <c r="R22" s="7"/>
      <c r="S22" s="7"/>
    </row>
    <row r="23" spans="1:19" x14ac:dyDescent="0.25">
      <c r="A23" s="7"/>
      <c r="B23" s="7"/>
      <c r="C23" s="7"/>
      <c r="D23" s="7"/>
      <c r="E23" s="7"/>
      <c r="F23" s="7"/>
      <c r="G23" s="7"/>
      <c r="H23" s="7"/>
      <c r="I23" s="7"/>
      <c r="J23" s="7"/>
      <c r="K23" s="7"/>
      <c r="L23" s="7"/>
      <c r="M23" s="7"/>
      <c r="N23" s="7"/>
      <c r="O23" s="7"/>
      <c r="P23" s="7"/>
      <c r="Q23" s="7"/>
      <c r="R23" s="7"/>
      <c r="S23" s="7"/>
    </row>
    <row r="24" spans="1:19" x14ac:dyDescent="0.25">
      <c r="A24" s="7"/>
      <c r="B24" s="7"/>
      <c r="C24" s="7"/>
      <c r="D24" s="7"/>
      <c r="E24" s="7"/>
      <c r="F24" s="7"/>
      <c r="G24" s="7"/>
      <c r="H24" s="7"/>
      <c r="I24" s="7"/>
      <c r="J24" s="7"/>
      <c r="K24" s="7"/>
      <c r="L24" s="7"/>
      <c r="M24" s="7"/>
      <c r="N24" s="7"/>
      <c r="O24" s="7"/>
      <c r="P24" s="7"/>
      <c r="Q24" s="7"/>
      <c r="R24" s="7"/>
      <c r="S24" s="7"/>
    </row>
  </sheetData>
  <mergeCells count="1">
    <mergeCell ref="A3:K3"/>
  </mergeCells>
  <pageMargins left="0.7" right="0.7" top="0.75" bottom="0.75" header="0.3" footer="0.3"/>
  <ignoredErrors>
    <ignoredError sqref="D8 B17 B15 B11 B9" evalError="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89293-7BD9-4560-AD77-1803B512C2A5}">
  <sheetPr>
    <pageSetUpPr fitToPage="1"/>
  </sheetPr>
  <dimension ref="B1:N197"/>
  <sheetViews>
    <sheetView showGridLines="0" zoomScaleNormal="100" zoomScaleSheetLayoutView="100" workbookViewId="0">
      <selection activeCell="G50" sqref="G50"/>
    </sheetView>
  </sheetViews>
  <sheetFormatPr defaultColWidth="8" defaultRowHeight="14.25" x14ac:dyDescent="0.2"/>
  <cols>
    <col min="1" max="1" width="2" style="173" customWidth="1"/>
    <col min="2" max="2" width="59" style="173" customWidth="1"/>
    <col min="3" max="3" width="54.140625" style="173" customWidth="1"/>
    <col min="4" max="4" width="21.42578125" style="173" customWidth="1"/>
    <col min="5" max="5" width="12.42578125" style="173" customWidth="1"/>
    <col min="6" max="6" width="25.7109375" style="173" customWidth="1"/>
    <col min="7" max="7" width="23" style="174" customWidth="1"/>
    <col min="8" max="8" width="2.5703125" style="173" customWidth="1"/>
    <col min="9" max="9" width="15.5703125" style="173" customWidth="1"/>
    <col min="10" max="10" width="21.140625" style="173" bestFit="1" customWidth="1"/>
    <col min="11" max="11" width="9.5703125" style="173" customWidth="1"/>
    <col min="12" max="12" width="19" style="173" customWidth="1"/>
    <col min="13" max="13" width="12.140625" style="173" customWidth="1"/>
    <col min="14" max="14" width="9.85546875" style="173" bestFit="1" customWidth="1"/>
    <col min="15" max="16384" width="8" style="173"/>
  </cols>
  <sheetData>
    <row r="1" spans="2:12" ht="18" x14ac:dyDescent="0.25">
      <c r="B1" s="172" t="s">
        <v>326</v>
      </c>
    </row>
    <row r="4" spans="2:12" x14ac:dyDescent="0.2">
      <c r="B4" s="175" t="s">
        <v>173</v>
      </c>
      <c r="C4" s="176"/>
      <c r="D4" s="382"/>
      <c r="E4" s="383"/>
      <c r="F4" s="200" t="s">
        <v>373</v>
      </c>
      <c r="G4" s="178"/>
    </row>
    <row r="5" spans="2:12" x14ac:dyDescent="0.2">
      <c r="B5" s="179" t="s">
        <v>174</v>
      </c>
      <c r="C5" s="356"/>
      <c r="D5" s="389"/>
      <c r="E5" s="390"/>
      <c r="F5" s="391"/>
      <c r="G5" s="392"/>
      <c r="J5" s="180"/>
    </row>
    <row r="6" spans="2:12" ht="15" x14ac:dyDescent="0.2">
      <c r="B6" s="179" t="s">
        <v>175</v>
      </c>
      <c r="C6" s="356"/>
      <c r="D6" s="389" t="s">
        <v>176</v>
      </c>
      <c r="E6" s="393"/>
      <c r="F6" s="181" t="str">
        <f>IF(D6&lt;&gt;"","max. steunpercentage:","")</f>
        <v>max. steunpercentage:</v>
      </c>
      <c r="G6" s="182">
        <f>IF($D$6="","",
IF($D$6="Groot bedrijf",40%,
IF($D$6="Middelgroot bedrijf",50%,60%)))</f>
        <v>0.5</v>
      </c>
      <c r="I6" s="183"/>
      <c r="J6" s="112"/>
      <c r="L6" s="112"/>
    </row>
    <row r="7" spans="2:12" ht="15" x14ac:dyDescent="0.2">
      <c r="B7" s="179" t="s">
        <v>178</v>
      </c>
      <c r="C7" s="356"/>
      <c r="D7" s="394"/>
      <c r="E7" s="391"/>
      <c r="F7" s="391"/>
      <c r="G7" s="392"/>
      <c r="I7" s="183"/>
      <c r="J7" s="112"/>
      <c r="L7" s="112"/>
    </row>
    <row r="8" spans="2:12" ht="30" customHeight="1" x14ac:dyDescent="0.2">
      <c r="B8" s="368" t="s">
        <v>375</v>
      </c>
      <c r="C8" s="384" t="s">
        <v>275</v>
      </c>
      <c r="D8" s="385"/>
      <c r="E8" s="385"/>
      <c r="F8" s="385"/>
      <c r="G8" s="386"/>
      <c r="I8" s="183"/>
      <c r="J8" s="112"/>
      <c r="L8" s="112"/>
    </row>
    <row r="9" spans="2:12" ht="15" x14ac:dyDescent="0.2">
      <c r="B9" s="179"/>
      <c r="C9" s="356"/>
      <c r="D9" s="355"/>
      <c r="E9" s="355"/>
      <c r="F9" s="355"/>
      <c r="G9" s="357"/>
      <c r="I9" s="183"/>
      <c r="J9" s="112"/>
      <c r="L9" s="369"/>
    </row>
    <row r="10" spans="2:12" ht="15" x14ac:dyDescent="0.2">
      <c r="B10" s="179" t="s">
        <v>279</v>
      </c>
      <c r="C10" s="356"/>
      <c r="D10" s="387"/>
      <c r="E10" s="388"/>
      <c r="F10" s="184" t="s">
        <v>374</v>
      </c>
      <c r="G10" s="185"/>
      <c r="I10" s="183"/>
      <c r="J10" s="112"/>
      <c r="L10" s="112"/>
    </row>
    <row r="11" spans="2:12" ht="15" x14ac:dyDescent="0.2">
      <c r="B11" s="179" t="s">
        <v>278</v>
      </c>
      <c r="C11" s="356"/>
      <c r="D11" s="395">
        <v>0</v>
      </c>
      <c r="E11" s="396"/>
      <c r="F11" s="184" t="s">
        <v>281</v>
      </c>
      <c r="G11" s="185"/>
      <c r="I11" s="183"/>
      <c r="J11" s="369"/>
      <c r="L11" s="112"/>
    </row>
    <row r="12" spans="2:12" ht="15" x14ac:dyDescent="0.2">
      <c r="B12" s="179" t="s">
        <v>280</v>
      </c>
      <c r="C12" s="356"/>
      <c r="D12" s="379">
        <f>D10*D11</f>
        <v>0</v>
      </c>
      <c r="E12" s="381"/>
      <c r="F12" s="184" t="s">
        <v>321</v>
      </c>
      <c r="G12" s="185"/>
      <c r="I12" s="183"/>
      <c r="J12" s="112"/>
      <c r="L12" s="112"/>
    </row>
    <row r="13" spans="2:12" ht="15" x14ac:dyDescent="0.2">
      <c r="B13" s="179"/>
      <c r="C13" s="356"/>
      <c r="D13" s="351"/>
      <c r="E13" s="352"/>
      <c r="F13" s="184"/>
      <c r="G13" s="185"/>
      <c r="I13" s="183"/>
      <c r="J13" s="112"/>
      <c r="L13" s="112"/>
    </row>
    <row r="14" spans="2:12" ht="15" x14ac:dyDescent="0.2">
      <c r="B14" s="343" t="s">
        <v>347</v>
      </c>
      <c r="C14" s="356"/>
      <c r="D14" s="351"/>
      <c r="E14" s="352"/>
      <c r="F14" s="184"/>
      <c r="G14" s="185"/>
      <c r="I14" s="183"/>
      <c r="J14" s="112"/>
      <c r="L14" s="112"/>
    </row>
    <row r="15" spans="2:12" ht="15" x14ac:dyDescent="0.2">
      <c r="B15" s="179" t="s">
        <v>336</v>
      </c>
      <c r="C15" s="358"/>
      <c r="D15" s="387">
        <v>0</v>
      </c>
      <c r="E15" s="388"/>
      <c r="F15" s="184" t="s">
        <v>282</v>
      </c>
      <c r="G15" s="185"/>
      <c r="I15" s="183"/>
      <c r="J15" s="112"/>
      <c r="L15" s="112"/>
    </row>
    <row r="16" spans="2:12" ht="15" x14ac:dyDescent="0.2">
      <c r="B16" s="179" t="s">
        <v>335</v>
      </c>
      <c r="C16" s="358"/>
      <c r="D16" s="379">
        <f>D15*0.03932</f>
        <v>0</v>
      </c>
      <c r="E16" s="381"/>
      <c r="F16" s="184" t="s">
        <v>328</v>
      </c>
      <c r="G16" s="185"/>
      <c r="I16" s="183"/>
      <c r="J16" s="112"/>
      <c r="L16" s="112"/>
    </row>
    <row r="17" spans="2:12" ht="15" x14ac:dyDescent="0.2">
      <c r="B17" s="179" t="s">
        <v>337</v>
      </c>
      <c r="C17" s="358"/>
      <c r="D17" s="379">
        <f>IF(D10&gt;0,(IF(D16/D12&lt;8766,D16/D12,"Te hoge vollasturen!!!")),0)</f>
        <v>0</v>
      </c>
      <c r="E17" s="381"/>
      <c r="F17" s="184" t="s">
        <v>262</v>
      </c>
      <c r="G17" s="185"/>
      <c r="I17" s="183"/>
      <c r="J17" s="112"/>
      <c r="L17" s="112"/>
    </row>
    <row r="18" spans="2:12" ht="15" x14ac:dyDescent="0.2">
      <c r="B18" s="179"/>
      <c r="C18" s="358"/>
      <c r="D18" s="351"/>
      <c r="E18" s="352"/>
      <c r="F18" s="184"/>
      <c r="G18" s="185"/>
      <c r="I18" s="183"/>
      <c r="J18" s="112"/>
      <c r="L18" s="112"/>
    </row>
    <row r="19" spans="2:12" ht="15" x14ac:dyDescent="0.2">
      <c r="B19" s="343" t="s">
        <v>348</v>
      </c>
      <c r="C19" s="356"/>
      <c r="D19" s="351"/>
      <c r="E19" s="352"/>
      <c r="F19" s="184"/>
      <c r="G19" s="185"/>
      <c r="I19" s="183"/>
      <c r="J19" s="112"/>
      <c r="L19" s="112"/>
    </row>
    <row r="20" spans="2:12" ht="15" x14ac:dyDescent="0.2">
      <c r="B20" s="179" t="s">
        <v>338</v>
      </c>
      <c r="C20" s="358"/>
      <c r="D20" s="377">
        <v>0</v>
      </c>
      <c r="E20" s="378"/>
      <c r="F20" s="184" t="s">
        <v>282</v>
      </c>
      <c r="G20" s="185"/>
      <c r="I20" s="183"/>
      <c r="J20" s="112"/>
      <c r="L20" s="112"/>
    </row>
    <row r="21" spans="2:12" ht="15" x14ac:dyDescent="0.2">
      <c r="B21" s="179" t="s">
        <v>339</v>
      </c>
      <c r="C21" s="358"/>
      <c r="D21" s="379">
        <f>D20*0.03932</f>
        <v>0</v>
      </c>
      <c r="E21" s="381"/>
      <c r="F21" s="184" t="s">
        <v>328</v>
      </c>
      <c r="G21" s="185"/>
      <c r="I21" s="183"/>
      <c r="J21" s="112"/>
      <c r="L21" s="112"/>
    </row>
    <row r="22" spans="2:12" ht="15" x14ac:dyDescent="0.2">
      <c r="B22" s="179" t="s">
        <v>340</v>
      </c>
      <c r="C22" s="358"/>
      <c r="D22" s="379">
        <f>IF(D10&gt;0,(IF((D16+D21)/D12&lt;8766,(D16+D21)/D12,"Te hoge vollasturen!!!")),0)</f>
        <v>0</v>
      </c>
      <c r="E22" s="380"/>
      <c r="F22" s="184" t="s">
        <v>262</v>
      </c>
      <c r="G22" s="185"/>
      <c r="I22" s="183"/>
      <c r="J22" s="112"/>
      <c r="L22" s="112"/>
    </row>
    <row r="23" spans="2:12" ht="15" x14ac:dyDescent="0.2">
      <c r="B23" s="179"/>
      <c r="C23" s="356"/>
      <c r="D23" s="351"/>
      <c r="E23" s="353"/>
      <c r="F23" s="184"/>
      <c r="G23" s="185"/>
      <c r="I23" s="183"/>
      <c r="J23" s="112"/>
      <c r="L23" s="112"/>
    </row>
    <row r="24" spans="2:12" ht="15" x14ac:dyDescent="0.2">
      <c r="B24" s="343" t="s">
        <v>349</v>
      </c>
      <c r="C24" s="356"/>
      <c r="D24" s="351"/>
      <c r="E24" s="353"/>
      <c r="F24" s="184"/>
      <c r="G24" s="185"/>
      <c r="I24" s="183"/>
      <c r="J24" s="112"/>
      <c r="L24" s="112"/>
    </row>
    <row r="25" spans="2:12" ht="15" x14ac:dyDescent="0.2">
      <c r="B25" s="179" t="s">
        <v>341</v>
      </c>
      <c r="C25" s="356"/>
      <c r="D25" s="387">
        <v>0</v>
      </c>
      <c r="E25" s="405"/>
      <c r="F25" s="184" t="s">
        <v>282</v>
      </c>
      <c r="G25" s="185"/>
      <c r="I25" s="183"/>
      <c r="J25" s="112"/>
      <c r="L25" s="112"/>
    </row>
    <row r="26" spans="2:12" ht="15" x14ac:dyDescent="0.2">
      <c r="B26" s="179" t="s">
        <v>342</v>
      </c>
      <c r="C26" s="356"/>
      <c r="D26" s="379">
        <f>D25*0.03932</f>
        <v>0</v>
      </c>
      <c r="E26" s="406"/>
      <c r="F26" s="184" t="s">
        <v>328</v>
      </c>
      <c r="G26" s="185"/>
      <c r="I26" s="183"/>
      <c r="J26" s="112"/>
      <c r="L26" s="112"/>
    </row>
    <row r="27" spans="2:12" ht="15" x14ac:dyDescent="0.2">
      <c r="B27" s="179" t="s">
        <v>343</v>
      </c>
      <c r="C27" s="356"/>
      <c r="D27" s="379">
        <f>IF(D10&gt;0,(IF(D26/D12&lt;8766,D26/D12,"Te hoge vollasturen!!!")),0)</f>
        <v>0</v>
      </c>
      <c r="E27" s="406"/>
      <c r="F27" s="184" t="s">
        <v>262</v>
      </c>
      <c r="G27" s="185"/>
      <c r="I27" s="183"/>
      <c r="J27" s="112"/>
      <c r="L27" s="112"/>
    </row>
    <row r="28" spans="2:12" ht="15" x14ac:dyDescent="0.2">
      <c r="B28" s="179"/>
      <c r="C28" s="356"/>
      <c r="D28" s="351"/>
      <c r="E28" s="353"/>
      <c r="F28" s="184"/>
      <c r="G28" s="185"/>
      <c r="I28" s="183"/>
      <c r="J28" s="112"/>
      <c r="L28" s="112"/>
    </row>
    <row r="29" spans="2:12" ht="15" x14ac:dyDescent="0.2">
      <c r="B29" s="343" t="s">
        <v>350</v>
      </c>
      <c r="C29" s="356"/>
      <c r="D29" s="351"/>
      <c r="E29" s="353"/>
      <c r="F29" s="184"/>
      <c r="G29" s="185"/>
      <c r="I29" s="183"/>
      <c r="J29" s="112"/>
      <c r="L29" s="112"/>
    </row>
    <row r="30" spans="2:12" ht="15" x14ac:dyDescent="0.2">
      <c r="B30" s="179" t="s">
        <v>344</v>
      </c>
      <c r="C30" s="356"/>
      <c r="D30" s="387">
        <v>0</v>
      </c>
      <c r="E30" s="405"/>
      <c r="F30" s="184" t="s">
        <v>282</v>
      </c>
      <c r="G30" s="185"/>
      <c r="I30" s="183"/>
      <c r="J30" s="112"/>
      <c r="L30" s="112"/>
    </row>
    <row r="31" spans="2:12" ht="15" x14ac:dyDescent="0.2">
      <c r="B31" s="179" t="s">
        <v>345</v>
      </c>
      <c r="C31" s="356"/>
      <c r="D31" s="379">
        <f>D30*0.03932</f>
        <v>0</v>
      </c>
      <c r="E31" s="406"/>
      <c r="F31" s="184" t="s">
        <v>328</v>
      </c>
      <c r="G31" s="185"/>
      <c r="I31" s="183"/>
      <c r="J31" s="112"/>
      <c r="L31" s="112"/>
    </row>
    <row r="32" spans="2:12" ht="15" x14ac:dyDescent="0.2">
      <c r="B32" s="179" t="s">
        <v>346</v>
      </c>
      <c r="C32" s="356"/>
      <c r="D32" s="379">
        <f>IF(D10&gt;0,(IF((D26+D31)/D12&lt;8766,(D26+D31)/D12,"Te hoge vollasturen!!!")),0)</f>
        <v>0</v>
      </c>
      <c r="E32" s="406"/>
      <c r="F32" s="184" t="s">
        <v>262</v>
      </c>
      <c r="G32" s="185"/>
      <c r="I32" s="183"/>
      <c r="J32" s="112"/>
      <c r="L32" s="112"/>
    </row>
    <row r="33" spans="2:12" ht="15" x14ac:dyDescent="0.2">
      <c r="B33" s="179"/>
      <c r="C33" s="356"/>
      <c r="D33" s="351"/>
      <c r="E33" s="353"/>
      <c r="F33" s="184"/>
      <c r="G33" s="185"/>
      <c r="I33" s="183"/>
      <c r="J33" s="112"/>
      <c r="L33" s="112"/>
    </row>
    <row r="34" spans="2:12" ht="15" x14ac:dyDescent="0.2">
      <c r="B34" s="179" t="s">
        <v>319</v>
      </c>
      <c r="C34" s="356"/>
      <c r="D34" s="408">
        <v>15</v>
      </c>
      <c r="E34" s="412"/>
      <c r="F34" s="184" t="s">
        <v>320</v>
      </c>
      <c r="G34" s="185"/>
      <c r="I34" s="183"/>
      <c r="J34" s="112"/>
      <c r="L34" s="112"/>
    </row>
    <row r="35" spans="2:12" ht="15" x14ac:dyDescent="0.2">
      <c r="B35" s="179" t="s">
        <v>330</v>
      </c>
      <c r="C35" s="356"/>
      <c r="D35" s="408">
        <v>15</v>
      </c>
      <c r="E35" s="409"/>
      <c r="F35" s="184" t="s">
        <v>320</v>
      </c>
      <c r="G35" s="185"/>
      <c r="I35" s="337" t="str">
        <f>IF(D34&gt;D35,"Economische levensduur kan niet korter zijn dan de subsidielooptijd!","")</f>
        <v/>
      </c>
      <c r="J35" s="112"/>
      <c r="L35" s="112"/>
    </row>
    <row r="36" spans="2:12" ht="17.25" x14ac:dyDescent="0.3">
      <c r="B36" s="179" t="s">
        <v>392</v>
      </c>
      <c r="C36" s="356"/>
      <c r="D36" s="387">
        <v>0</v>
      </c>
      <c r="E36" s="405"/>
      <c r="F36" s="186" t="s">
        <v>324</v>
      </c>
      <c r="G36" s="185"/>
      <c r="I36" s="183"/>
      <c r="J36" s="112"/>
      <c r="L36" s="112"/>
    </row>
    <row r="37" spans="2:12" ht="17.25" x14ac:dyDescent="0.3">
      <c r="B37" s="179" t="s">
        <v>393</v>
      </c>
      <c r="C37" s="356"/>
      <c r="D37" s="379" t="e">
        <f>(D36-1.76)+G163/(D15*D34)</f>
        <v>#DIV/0!</v>
      </c>
      <c r="E37" s="407"/>
      <c r="F37" s="186" t="s">
        <v>324</v>
      </c>
      <c r="G37" s="185"/>
      <c r="I37" s="337" t="e">
        <f>IF(D37&gt;9,"Aangevraagd subsidiebedrag kan niet groter dan 9 euro/kgH₂ zijn!","")</f>
        <v>#DIV/0!</v>
      </c>
      <c r="J37" s="112"/>
      <c r="L37" s="112"/>
    </row>
    <row r="38" spans="2:12" ht="15" x14ac:dyDescent="0.2">
      <c r="B38" s="179" t="s">
        <v>316</v>
      </c>
      <c r="C38" s="356"/>
      <c r="D38" s="379" t="e">
        <f>(IF(D6="Klein bedrijf",G163-(20%*G152),
IF(D6="Middelgroot bedrijf",G163-(10%*G152),G163))
+(D15*D34*(D36-1.76)))/D10</f>
        <v>#DIV/0!</v>
      </c>
      <c r="E38" s="407"/>
      <c r="F38" s="184" t="s">
        <v>318</v>
      </c>
      <c r="G38" s="185"/>
      <c r="I38" s="183"/>
      <c r="J38" s="112"/>
      <c r="L38" s="112"/>
    </row>
    <row r="39" spans="2:12" ht="15" x14ac:dyDescent="0.2">
      <c r="B39" s="179" t="s">
        <v>371</v>
      </c>
      <c r="C39" s="356"/>
      <c r="D39" s="410">
        <v>36678</v>
      </c>
      <c r="E39" s="411"/>
      <c r="F39" s="187"/>
      <c r="G39" s="185"/>
      <c r="I39" s="183"/>
      <c r="J39" s="112"/>
      <c r="L39" s="112"/>
    </row>
    <row r="40" spans="2:12" x14ac:dyDescent="0.2">
      <c r="B40" s="188" t="s">
        <v>372</v>
      </c>
      <c r="C40" s="189"/>
      <c r="D40" s="410">
        <v>37043</v>
      </c>
      <c r="E40" s="411"/>
      <c r="F40" s="190"/>
      <c r="G40" s="191"/>
      <c r="H40" s="113"/>
      <c r="I40" s="114"/>
    </row>
    <row r="41" spans="2:12" x14ac:dyDescent="0.2">
      <c r="B41" s="359"/>
      <c r="C41" s="192"/>
      <c r="D41" s="115"/>
      <c r="E41" s="115"/>
      <c r="F41" s="115"/>
      <c r="G41" s="360"/>
      <c r="H41" s="113"/>
      <c r="I41" s="114"/>
    </row>
    <row r="42" spans="2:12" x14ac:dyDescent="0.2">
      <c r="B42" s="359"/>
      <c r="C42" s="193"/>
      <c r="D42" s="361"/>
      <c r="E42" s="194"/>
      <c r="F42" s="194"/>
      <c r="G42" s="362"/>
      <c r="I42" s="195"/>
      <c r="J42" s="112"/>
    </row>
    <row r="43" spans="2:12" x14ac:dyDescent="0.2">
      <c r="B43" s="359" t="s">
        <v>180</v>
      </c>
      <c r="C43" s="194"/>
      <c r="D43" s="193"/>
      <c r="E43" s="193"/>
      <c r="F43" s="193"/>
      <c r="G43" s="363"/>
      <c r="I43" s="195"/>
      <c r="J43" s="112"/>
    </row>
    <row r="44" spans="2:12" ht="14.25" customHeight="1" x14ac:dyDescent="0.2">
      <c r="B44" s="364"/>
      <c r="C44" s="194"/>
      <c r="D44" s="193"/>
      <c r="E44" s="193"/>
      <c r="F44" s="193"/>
      <c r="G44" s="363"/>
    </row>
    <row r="45" spans="2:12" ht="14.25" customHeight="1" x14ac:dyDescent="0.2">
      <c r="B45" s="188"/>
      <c r="C45" s="365"/>
      <c r="D45" s="366"/>
      <c r="E45" s="366"/>
      <c r="F45" s="366"/>
      <c r="G45" s="367"/>
    </row>
    <row r="46" spans="2:12" x14ac:dyDescent="0.2">
      <c r="B46" s="196" t="s">
        <v>181</v>
      </c>
      <c r="C46" s="197"/>
      <c r="D46" s="198"/>
      <c r="E46" s="197"/>
      <c r="F46" s="197"/>
      <c r="G46" s="199"/>
    </row>
    <row r="47" spans="2:12" x14ac:dyDescent="0.2">
      <c r="B47" s="200" t="s">
        <v>182</v>
      </c>
      <c r="C47" s="177"/>
      <c r="D47" s="177"/>
      <c r="E47" s="200"/>
      <c r="F47" s="200" t="s">
        <v>183</v>
      </c>
      <c r="G47" s="201" t="s">
        <v>184</v>
      </c>
    </row>
    <row r="48" spans="2:12" x14ac:dyDescent="0.2">
      <c r="G48" s="118"/>
    </row>
    <row r="49" spans="2:7" x14ac:dyDescent="0.2">
      <c r="B49" s="403" t="s">
        <v>248</v>
      </c>
      <c r="C49" s="404"/>
      <c r="D49" s="404"/>
      <c r="E49" s="212"/>
      <c r="F49" s="213"/>
      <c r="G49" s="214">
        <v>0</v>
      </c>
    </row>
    <row r="50" spans="2:7" x14ac:dyDescent="0.2">
      <c r="B50" s="399" t="s">
        <v>249</v>
      </c>
      <c r="C50" s="400"/>
      <c r="D50" s="400"/>
      <c r="E50" s="215"/>
      <c r="F50" s="134"/>
      <c r="G50" s="216">
        <v>0</v>
      </c>
    </row>
    <row r="51" spans="2:7" x14ac:dyDescent="0.2">
      <c r="B51" s="401"/>
      <c r="C51" s="402"/>
      <c r="D51" s="402"/>
      <c r="E51" s="215"/>
      <c r="F51" s="134"/>
      <c r="G51" s="216">
        <v>0</v>
      </c>
    </row>
    <row r="52" spans="2:7" x14ac:dyDescent="0.2">
      <c r="B52" s="401"/>
      <c r="C52" s="402"/>
      <c r="D52" s="402"/>
      <c r="E52" s="215"/>
      <c r="F52" s="134"/>
      <c r="G52" s="216">
        <v>0</v>
      </c>
    </row>
    <row r="53" spans="2:7" x14ac:dyDescent="0.2">
      <c r="B53" s="401"/>
      <c r="C53" s="402"/>
      <c r="D53" s="402"/>
      <c r="E53" s="215"/>
      <c r="F53" s="134"/>
      <c r="G53" s="216">
        <v>0</v>
      </c>
    </row>
    <row r="54" spans="2:7" x14ac:dyDescent="0.2">
      <c r="B54" s="401"/>
      <c r="C54" s="402"/>
      <c r="D54" s="402"/>
      <c r="E54" s="215"/>
      <c r="F54" s="133"/>
      <c r="G54" s="216">
        <v>0</v>
      </c>
    </row>
    <row r="55" spans="2:7" x14ac:dyDescent="0.2">
      <c r="B55" s="401"/>
      <c r="C55" s="402"/>
      <c r="D55" s="402"/>
      <c r="E55" s="215"/>
      <c r="F55" s="133"/>
      <c r="G55" s="216">
        <v>0</v>
      </c>
    </row>
    <row r="56" spans="2:7" x14ac:dyDescent="0.2">
      <c r="B56" s="397"/>
      <c r="C56" s="398"/>
      <c r="D56" s="398"/>
      <c r="E56" s="218"/>
      <c r="F56" s="218"/>
      <c r="G56" s="219">
        <v>0</v>
      </c>
    </row>
    <row r="57" spans="2:7" x14ac:dyDescent="0.2">
      <c r="G57" s="118"/>
    </row>
    <row r="58" spans="2:7" x14ac:dyDescent="0.2">
      <c r="F58" s="202" t="s">
        <v>185</v>
      </c>
      <c r="G58" s="119">
        <f>SUM(G49:G56)</f>
        <v>0</v>
      </c>
    </row>
    <row r="59" spans="2:7" x14ac:dyDescent="0.2">
      <c r="G59" s="120"/>
    </row>
    <row r="60" spans="2:7" x14ac:dyDescent="0.2">
      <c r="B60" s="196" t="s">
        <v>186</v>
      </c>
      <c r="C60" s="198"/>
      <c r="D60" s="198"/>
      <c r="E60" s="197"/>
      <c r="F60" s="197"/>
      <c r="G60" s="121"/>
    </row>
    <row r="61" spans="2:7" ht="14.25" customHeight="1" x14ac:dyDescent="0.2">
      <c r="B61" s="200" t="s">
        <v>182</v>
      </c>
      <c r="C61" s="177"/>
      <c r="D61" s="177"/>
      <c r="E61" s="200"/>
      <c r="F61" s="200" t="s">
        <v>183</v>
      </c>
      <c r="G61" s="201" t="s">
        <v>184</v>
      </c>
    </row>
    <row r="62" spans="2:7" x14ac:dyDescent="0.2">
      <c r="G62" s="120"/>
    </row>
    <row r="63" spans="2:7" x14ac:dyDescent="0.2">
      <c r="B63" s="403" t="s">
        <v>250</v>
      </c>
      <c r="C63" s="404"/>
      <c r="D63" s="404"/>
      <c r="E63" s="212"/>
      <c r="F63" s="213"/>
      <c r="G63" s="214">
        <v>0</v>
      </c>
    </row>
    <row r="64" spans="2:7" x14ac:dyDescent="0.2">
      <c r="B64" s="399" t="s">
        <v>252</v>
      </c>
      <c r="C64" s="400"/>
      <c r="D64" s="400"/>
      <c r="E64" s="215"/>
      <c r="F64" s="133"/>
      <c r="G64" s="216">
        <v>0</v>
      </c>
    </row>
    <row r="65" spans="2:7" x14ac:dyDescent="0.2">
      <c r="B65" s="399" t="s">
        <v>253</v>
      </c>
      <c r="C65" s="400"/>
      <c r="D65" s="400"/>
      <c r="E65" s="215"/>
      <c r="F65" s="133"/>
      <c r="G65" s="216">
        <v>0</v>
      </c>
    </row>
    <row r="66" spans="2:7" x14ac:dyDescent="0.2">
      <c r="B66" s="399" t="s">
        <v>254</v>
      </c>
      <c r="C66" s="400"/>
      <c r="D66" s="400"/>
      <c r="E66" s="215"/>
      <c r="F66" s="133"/>
      <c r="G66" s="216">
        <v>0</v>
      </c>
    </row>
    <row r="67" spans="2:7" x14ac:dyDescent="0.2">
      <c r="B67" s="399" t="s">
        <v>255</v>
      </c>
      <c r="C67" s="400"/>
      <c r="D67" s="400"/>
      <c r="E67" s="215"/>
      <c r="F67" s="133"/>
      <c r="G67" s="216">
        <v>0</v>
      </c>
    </row>
    <row r="68" spans="2:7" x14ac:dyDescent="0.2">
      <c r="B68" s="399" t="s">
        <v>258</v>
      </c>
      <c r="C68" s="400"/>
      <c r="D68" s="400"/>
      <c r="E68" s="215"/>
      <c r="F68" s="133"/>
      <c r="G68" s="216">
        <v>0</v>
      </c>
    </row>
    <row r="69" spans="2:7" x14ac:dyDescent="0.2">
      <c r="B69" s="399" t="s">
        <v>256</v>
      </c>
      <c r="C69" s="400"/>
      <c r="D69" s="400"/>
      <c r="E69" s="215"/>
      <c r="F69" s="133"/>
      <c r="G69" s="216">
        <v>0</v>
      </c>
    </row>
    <row r="70" spans="2:7" x14ac:dyDescent="0.2">
      <c r="B70" s="399" t="s">
        <v>257</v>
      </c>
      <c r="C70" s="400"/>
      <c r="D70" s="400"/>
      <c r="E70" s="215"/>
      <c r="F70" s="133"/>
      <c r="G70" s="216">
        <v>0</v>
      </c>
    </row>
    <row r="71" spans="2:7" x14ac:dyDescent="0.2">
      <c r="B71" s="217" t="s">
        <v>261</v>
      </c>
      <c r="C71" s="136"/>
      <c r="D71" s="136"/>
      <c r="E71" s="215"/>
      <c r="F71" s="133"/>
      <c r="G71" s="216">
        <v>0</v>
      </c>
    </row>
    <row r="72" spans="2:7" x14ac:dyDescent="0.2">
      <c r="B72" s="217"/>
      <c r="C72" s="136"/>
      <c r="D72" s="136"/>
      <c r="E72" s="215"/>
      <c r="F72" s="133"/>
      <c r="G72" s="216">
        <v>0</v>
      </c>
    </row>
    <row r="73" spans="2:7" x14ac:dyDescent="0.2">
      <c r="B73" s="217"/>
      <c r="C73" s="136"/>
      <c r="D73" s="136"/>
      <c r="E73" s="215"/>
      <c r="F73" s="133"/>
      <c r="G73" s="216">
        <v>0</v>
      </c>
    </row>
    <row r="74" spans="2:7" x14ac:dyDescent="0.2">
      <c r="B74" s="217"/>
      <c r="C74" s="136"/>
      <c r="D74" s="136"/>
      <c r="E74" s="215"/>
      <c r="F74" s="133"/>
      <c r="G74" s="216">
        <v>0</v>
      </c>
    </row>
    <row r="75" spans="2:7" x14ac:dyDescent="0.2">
      <c r="B75" s="217"/>
      <c r="C75" s="136"/>
      <c r="D75" s="136"/>
      <c r="E75" s="215"/>
      <c r="F75" s="133"/>
      <c r="G75" s="216">
        <v>0</v>
      </c>
    </row>
    <row r="76" spans="2:7" x14ac:dyDescent="0.2">
      <c r="B76" s="221"/>
      <c r="C76" s="136"/>
      <c r="D76" s="136"/>
      <c r="E76" s="215"/>
      <c r="F76" s="133"/>
      <c r="G76" s="216">
        <v>0</v>
      </c>
    </row>
    <row r="77" spans="2:7" x14ac:dyDescent="0.2">
      <c r="B77" s="397"/>
      <c r="C77" s="398"/>
      <c r="D77" s="398"/>
      <c r="E77" s="218"/>
      <c r="F77" s="218"/>
      <c r="G77" s="219">
        <v>0</v>
      </c>
    </row>
    <row r="78" spans="2:7" x14ac:dyDescent="0.2">
      <c r="B78" s="203"/>
      <c r="G78" s="120"/>
    </row>
    <row r="79" spans="2:7" x14ac:dyDescent="0.2">
      <c r="F79" s="202" t="s">
        <v>185</v>
      </c>
      <c r="G79" s="119">
        <f>SUM(G63:G77)</f>
        <v>0</v>
      </c>
    </row>
    <row r="80" spans="2:7" x14ac:dyDescent="0.2">
      <c r="F80" s="202"/>
      <c r="G80" s="118"/>
    </row>
    <row r="81" spans="2:14" x14ac:dyDescent="0.2">
      <c r="B81" s="196" t="s">
        <v>187</v>
      </c>
      <c r="C81" s="198"/>
      <c r="D81" s="198"/>
      <c r="E81" s="197"/>
      <c r="F81" s="197"/>
      <c r="G81" s="121"/>
    </row>
    <row r="82" spans="2:14" x14ac:dyDescent="0.2">
      <c r="B82" s="200" t="s">
        <v>182</v>
      </c>
      <c r="C82" s="177"/>
      <c r="D82" s="177"/>
      <c r="E82" s="200"/>
      <c r="F82" s="200" t="s">
        <v>183</v>
      </c>
      <c r="G82" s="201" t="s">
        <v>184</v>
      </c>
    </row>
    <row r="83" spans="2:14" x14ac:dyDescent="0.2">
      <c r="G83" s="120"/>
    </row>
    <row r="84" spans="2:14" x14ac:dyDescent="0.2">
      <c r="B84" s="413" t="s">
        <v>312</v>
      </c>
      <c r="C84" s="414"/>
      <c r="D84" s="414"/>
      <c r="E84" s="212"/>
      <c r="F84" s="220"/>
      <c r="G84" s="214">
        <v>0</v>
      </c>
    </row>
    <row r="85" spans="2:14" ht="15" x14ac:dyDescent="0.2">
      <c r="B85" s="401" t="s">
        <v>317</v>
      </c>
      <c r="C85" s="402"/>
      <c r="D85" s="402"/>
      <c r="E85" s="215"/>
      <c r="F85" s="133"/>
      <c r="G85" s="216">
        <v>0</v>
      </c>
      <c r="N85" s="204"/>
    </row>
    <row r="86" spans="2:14" ht="15" x14ac:dyDescent="0.2">
      <c r="B86" s="401"/>
      <c r="C86" s="402"/>
      <c r="D86" s="402"/>
      <c r="E86" s="215"/>
      <c r="F86" s="133"/>
      <c r="G86" s="216">
        <v>0</v>
      </c>
      <c r="N86" s="204"/>
    </row>
    <row r="87" spans="2:14" ht="15" x14ac:dyDescent="0.2">
      <c r="B87" s="401"/>
      <c r="C87" s="402"/>
      <c r="D87" s="402"/>
      <c r="E87" s="215"/>
      <c r="F87" s="133"/>
      <c r="G87" s="216">
        <v>0</v>
      </c>
      <c r="N87" s="204"/>
    </row>
    <row r="88" spans="2:14" ht="15" x14ac:dyDescent="0.2">
      <c r="B88" s="401"/>
      <c r="C88" s="402"/>
      <c r="D88" s="402"/>
      <c r="E88" s="215"/>
      <c r="F88" s="133"/>
      <c r="G88" s="216">
        <v>0</v>
      </c>
      <c r="N88" s="204"/>
    </row>
    <row r="89" spans="2:14" ht="15" x14ac:dyDescent="0.2">
      <c r="B89" s="401"/>
      <c r="C89" s="402"/>
      <c r="D89" s="402"/>
      <c r="E89" s="215"/>
      <c r="F89" s="133"/>
      <c r="G89" s="216">
        <v>0</v>
      </c>
      <c r="N89" s="204"/>
    </row>
    <row r="90" spans="2:14" x14ac:dyDescent="0.2">
      <c r="B90" s="401"/>
      <c r="C90" s="402"/>
      <c r="D90" s="402"/>
      <c r="E90" s="215"/>
      <c r="F90" s="133"/>
      <c r="G90" s="216">
        <v>0</v>
      </c>
    </row>
    <row r="91" spans="2:14" x14ac:dyDescent="0.2">
      <c r="B91" s="401"/>
      <c r="C91" s="402"/>
      <c r="D91" s="402"/>
      <c r="E91" s="215"/>
      <c r="F91" s="133"/>
      <c r="G91" s="216">
        <v>0</v>
      </c>
    </row>
    <row r="92" spans="2:14" x14ac:dyDescent="0.2">
      <c r="B92" s="401"/>
      <c r="C92" s="402"/>
      <c r="D92" s="402"/>
      <c r="E92" s="215"/>
      <c r="F92" s="133"/>
      <c r="G92" s="216">
        <v>0</v>
      </c>
    </row>
    <row r="93" spans="2:14" x14ac:dyDescent="0.2">
      <c r="B93" s="397"/>
      <c r="C93" s="398"/>
      <c r="D93" s="398"/>
      <c r="E93" s="218"/>
      <c r="F93" s="218"/>
      <c r="G93" s="219">
        <v>0</v>
      </c>
    </row>
    <row r="94" spans="2:14" x14ac:dyDescent="0.2">
      <c r="B94" s="203"/>
      <c r="G94" s="120"/>
    </row>
    <row r="95" spans="2:14" x14ac:dyDescent="0.2">
      <c r="F95" s="202" t="s">
        <v>185</v>
      </c>
      <c r="G95" s="119">
        <f>SUM(G84:G93)</f>
        <v>0</v>
      </c>
    </row>
    <row r="96" spans="2:14" x14ac:dyDescent="0.2">
      <c r="G96" s="120"/>
    </row>
    <row r="97" spans="2:7" ht="14.25" customHeight="1" x14ac:dyDescent="0.2">
      <c r="B97" s="196" t="s">
        <v>188</v>
      </c>
      <c r="C97" s="198"/>
      <c r="D97" s="198"/>
      <c r="E97" s="197"/>
      <c r="F97" s="197"/>
      <c r="G97" s="121"/>
    </row>
    <row r="98" spans="2:7" x14ac:dyDescent="0.2">
      <c r="B98" s="200" t="s">
        <v>182</v>
      </c>
      <c r="C98" s="177"/>
      <c r="D98" s="177"/>
      <c r="E98" s="200"/>
      <c r="F98" s="200" t="s">
        <v>183</v>
      </c>
      <c r="G98" s="201" t="s">
        <v>184</v>
      </c>
    </row>
    <row r="99" spans="2:7" x14ac:dyDescent="0.2">
      <c r="G99" s="120"/>
    </row>
    <row r="100" spans="2:7" x14ac:dyDescent="0.2">
      <c r="B100" s="403" t="s">
        <v>304</v>
      </c>
      <c r="C100" s="404"/>
      <c r="D100" s="404"/>
      <c r="E100" s="212"/>
      <c r="F100" s="213"/>
      <c r="G100" s="214">
        <v>0</v>
      </c>
    </row>
    <row r="101" spans="2:7" x14ac:dyDescent="0.2">
      <c r="B101" s="399" t="s">
        <v>305</v>
      </c>
      <c r="C101" s="400"/>
      <c r="D101" s="400"/>
      <c r="E101" s="215"/>
      <c r="F101" s="133"/>
      <c r="G101" s="216">
        <v>0</v>
      </c>
    </row>
    <row r="102" spans="2:7" x14ac:dyDescent="0.2">
      <c r="B102" s="399" t="s">
        <v>306</v>
      </c>
      <c r="C102" s="400"/>
      <c r="D102" s="400"/>
      <c r="E102" s="215"/>
      <c r="F102" s="133"/>
      <c r="G102" s="216">
        <v>0</v>
      </c>
    </row>
    <row r="103" spans="2:7" x14ac:dyDescent="0.2">
      <c r="B103" s="217"/>
      <c r="C103" s="135"/>
      <c r="D103" s="135"/>
      <c r="E103" s="215"/>
      <c r="F103" s="133"/>
      <c r="G103" s="216">
        <v>0</v>
      </c>
    </row>
    <row r="104" spans="2:7" x14ac:dyDescent="0.2">
      <c r="B104" s="217"/>
      <c r="C104" s="135"/>
      <c r="D104" s="135"/>
      <c r="E104" s="215"/>
      <c r="F104" s="133"/>
      <c r="G104" s="216">
        <v>0</v>
      </c>
    </row>
    <row r="105" spans="2:7" x14ac:dyDescent="0.2">
      <c r="B105" s="217"/>
      <c r="C105" s="135"/>
      <c r="D105" s="135"/>
      <c r="E105" s="215"/>
      <c r="F105" s="133"/>
      <c r="G105" s="216">
        <v>0</v>
      </c>
    </row>
    <row r="106" spans="2:7" x14ac:dyDescent="0.2">
      <c r="B106" s="397"/>
      <c r="C106" s="398"/>
      <c r="D106" s="398"/>
      <c r="E106" s="218"/>
      <c r="F106" s="218"/>
      <c r="G106" s="219">
        <v>0</v>
      </c>
    </row>
    <row r="107" spans="2:7" x14ac:dyDescent="0.2">
      <c r="G107" s="118"/>
    </row>
    <row r="108" spans="2:7" x14ac:dyDescent="0.2">
      <c r="F108" s="202" t="s">
        <v>185</v>
      </c>
      <c r="G108" s="119">
        <f>SUM(G100:G106)</f>
        <v>0</v>
      </c>
    </row>
    <row r="109" spans="2:7" x14ac:dyDescent="0.2">
      <c r="G109" s="120"/>
    </row>
    <row r="110" spans="2:7" x14ac:dyDescent="0.2">
      <c r="B110" s="196" t="s">
        <v>189</v>
      </c>
      <c r="C110" s="198"/>
      <c r="D110" s="198"/>
      <c r="E110" s="197"/>
      <c r="F110" s="197"/>
      <c r="G110" s="121"/>
    </row>
    <row r="111" spans="2:7" x14ac:dyDescent="0.2">
      <c r="B111" s="200" t="s">
        <v>182</v>
      </c>
      <c r="C111" s="177"/>
      <c r="D111" s="177"/>
      <c r="E111" s="200"/>
      <c r="F111" s="200" t="s">
        <v>183</v>
      </c>
      <c r="G111" s="201" t="s">
        <v>184</v>
      </c>
    </row>
    <row r="112" spans="2:7" x14ac:dyDescent="0.2">
      <c r="G112" s="120"/>
    </row>
    <row r="113" spans="2:7" x14ac:dyDescent="0.2">
      <c r="B113" s="403" t="s">
        <v>260</v>
      </c>
      <c r="C113" s="404"/>
      <c r="D113" s="404"/>
      <c r="E113" s="212"/>
      <c r="F113" s="213"/>
      <c r="G113" s="214">
        <v>0</v>
      </c>
    </row>
    <row r="114" spans="2:7" x14ac:dyDescent="0.2">
      <c r="B114" s="399" t="s">
        <v>259</v>
      </c>
      <c r="C114" s="400"/>
      <c r="D114" s="400"/>
      <c r="E114" s="215"/>
      <c r="F114" s="133"/>
      <c r="G114" s="216">
        <v>0</v>
      </c>
    </row>
    <row r="115" spans="2:7" x14ac:dyDescent="0.2">
      <c r="B115" s="399" t="s">
        <v>251</v>
      </c>
      <c r="C115" s="400"/>
      <c r="D115" s="400"/>
      <c r="E115" s="215"/>
      <c r="F115" s="133"/>
      <c r="G115" s="216">
        <v>0</v>
      </c>
    </row>
    <row r="116" spans="2:7" x14ac:dyDescent="0.2">
      <c r="B116" s="217"/>
      <c r="C116" s="135"/>
      <c r="D116" s="135"/>
      <c r="E116" s="215"/>
      <c r="F116" s="133"/>
      <c r="G116" s="216">
        <v>0</v>
      </c>
    </row>
    <row r="117" spans="2:7" x14ac:dyDescent="0.2">
      <c r="B117" s="217"/>
      <c r="C117" s="135"/>
      <c r="D117" s="135"/>
      <c r="E117" s="215"/>
      <c r="F117" s="133"/>
      <c r="G117" s="216">
        <v>0</v>
      </c>
    </row>
    <row r="118" spans="2:7" x14ac:dyDescent="0.2">
      <c r="B118" s="217"/>
      <c r="C118" s="135"/>
      <c r="D118" s="135"/>
      <c r="E118" s="215"/>
      <c r="F118" s="133"/>
      <c r="G118" s="216">
        <v>0</v>
      </c>
    </row>
    <row r="119" spans="2:7" x14ac:dyDescent="0.2">
      <c r="B119" s="217"/>
      <c r="C119" s="135"/>
      <c r="D119" s="135"/>
      <c r="E119" s="215"/>
      <c r="F119" s="133"/>
      <c r="G119" s="216">
        <v>0</v>
      </c>
    </row>
    <row r="120" spans="2:7" x14ac:dyDescent="0.2">
      <c r="B120" s="217"/>
      <c r="C120" s="135"/>
      <c r="D120" s="135"/>
      <c r="E120" s="215"/>
      <c r="F120" s="133"/>
      <c r="G120" s="216">
        <v>0</v>
      </c>
    </row>
    <row r="121" spans="2:7" x14ac:dyDescent="0.2">
      <c r="B121" s="397"/>
      <c r="C121" s="398"/>
      <c r="D121" s="398"/>
      <c r="E121" s="218"/>
      <c r="F121" s="218"/>
      <c r="G121" s="219">
        <v>0</v>
      </c>
    </row>
    <row r="122" spans="2:7" x14ac:dyDescent="0.2">
      <c r="G122" s="118"/>
    </row>
    <row r="123" spans="2:7" x14ac:dyDescent="0.2">
      <c r="F123" s="202" t="s">
        <v>185</v>
      </c>
      <c r="G123" s="119">
        <f>SUM(G113:G121)</f>
        <v>0</v>
      </c>
    </row>
    <row r="124" spans="2:7" x14ac:dyDescent="0.2">
      <c r="G124" s="120"/>
    </row>
    <row r="125" spans="2:7" x14ac:dyDescent="0.2">
      <c r="B125" s="196" t="s">
        <v>308</v>
      </c>
      <c r="C125" s="198"/>
      <c r="D125" s="198"/>
      <c r="E125" s="197"/>
      <c r="F125" s="197"/>
      <c r="G125" s="121"/>
    </row>
    <row r="126" spans="2:7" x14ac:dyDescent="0.2">
      <c r="B126" s="200" t="s">
        <v>182</v>
      </c>
      <c r="C126" s="177"/>
      <c r="D126" s="177"/>
      <c r="E126" s="200"/>
      <c r="F126" s="200" t="s">
        <v>183</v>
      </c>
      <c r="G126" s="201" t="s">
        <v>184</v>
      </c>
    </row>
    <row r="127" spans="2:7" x14ac:dyDescent="0.2">
      <c r="G127" s="118"/>
    </row>
    <row r="128" spans="2:7" x14ac:dyDescent="0.2">
      <c r="B128" s="413"/>
      <c r="C128" s="414"/>
      <c r="D128" s="414"/>
      <c r="E128" s="212"/>
      <c r="F128" s="213"/>
      <c r="G128" s="214">
        <v>0</v>
      </c>
    </row>
    <row r="129" spans="2:7" x14ac:dyDescent="0.2">
      <c r="B129" s="401"/>
      <c r="C129" s="402"/>
      <c r="D129" s="402"/>
      <c r="E129" s="215"/>
      <c r="F129" s="133"/>
      <c r="G129" s="216">
        <v>0</v>
      </c>
    </row>
    <row r="130" spans="2:7" x14ac:dyDescent="0.2">
      <c r="B130" s="401"/>
      <c r="C130" s="402"/>
      <c r="D130" s="402"/>
      <c r="E130" s="215"/>
      <c r="F130" s="133"/>
      <c r="G130" s="216">
        <v>0</v>
      </c>
    </row>
    <row r="131" spans="2:7" x14ac:dyDescent="0.2">
      <c r="B131" s="397"/>
      <c r="C131" s="398"/>
      <c r="D131" s="398"/>
      <c r="E131" s="218"/>
      <c r="F131" s="218"/>
      <c r="G131" s="219">
        <v>0</v>
      </c>
    </row>
    <row r="132" spans="2:7" x14ac:dyDescent="0.2">
      <c r="G132" s="118"/>
    </row>
    <row r="133" spans="2:7" x14ac:dyDescent="0.2">
      <c r="F133" s="202" t="s">
        <v>185</v>
      </c>
      <c r="G133" s="119">
        <f>SUM(G128:G131)</f>
        <v>0</v>
      </c>
    </row>
    <row r="134" spans="2:7" ht="15" thickBot="1" x14ac:dyDescent="0.25">
      <c r="G134" s="120"/>
    </row>
    <row r="135" spans="2:7" ht="15" thickTop="1" x14ac:dyDescent="0.2">
      <c r="B135" s="192"/>
      <c r="C135" s="192" t="s">
        <v>23</v>
      </c>
      <c r="D135" s="192"/>
      <c r="G135" s="122">
        <f>G58+G79+G95+G108+G123+G133</f>
        <v>0</v>
      </c>
    </row>
    <row r="136" spans="2:7" x14ac:dyDescent="0.2">
      <c r="B136" s="192"/>
      <c r="C136" s="192"/>
      <c r="D136" s="192"/>
      <c r="G136" s="123"/>
    </row>
    <row r="137" spans="2:7" x14ac:dyDescent="0.2">
      <c r="B137" s="192" t="s">
        <v>190</v>
      </c>
      <c r="C137" s="194"/>
      <c r="D137" s="193"/>
      <c r="E137" s="193"/>
      <c r="F137" s="193"/>
      <c r="G137" s="116"/>
    </row>
    <row r="138" spans="2:7" x14ac:dyDescent="0.2">
      <c r="B138" s="193"/>
      <c r="C138" s="194"/>
      <c r="D138" s="193"/>
      <c r="E138" s="193"/>
      <c r="F138" s="193"/>
      <c r="G138" s="117"/>
    </row>
    <row r="139" spans="2:7" x14ac:dyDescent="0.2">
      <c r="B139" s="205" t="s">
        <v>265</v>
      </c>
      <c r="C139" s="194"/>
      <c r="D139" s="193"/>
      <c r="E139" s="193"/>
      <c r="F139" s="193"/>
      <c r="G139" s="117"/>
    </row>
    <row r="140" spans="2:7" x14ac:dyDescent="0.2">
      <c r="G140" s="120"/>
    </row>
    <row r="141" spans="2:7" x14ac:dyDescent="0.2">
      <c r="B141" s="426" t="s">
        <v>191</v>
      </c>
      <c r="C141" s="427"/>
      <c r="D141" s="427"/>
      <c r="E141" s="427"/>
      <c r="F141" s="427"/>
      <c r="G141" s="428"/>
    </row>
    <row r="142" spans="2:7" x14ac:dyDescent="0.2">
      <c r="B142" s="173" t="s">
        <v>182</v>
      </c>
      <c r="D142" s="173" t="s">
        <v>266</v>
      </c>
      <c r="E142" s="173" t="s">
        <v>192</v>
      </c>
      <c r="F142" s="202" t="s">
        <v>264</v>
      </c>
      <c r="G142" s="206" t="s">
        <v>184</v>
      </c>
    </row>
    <row r="143" spans="2:7" x14ac:dyDescent="0.2">
      <c r="G143" s="118"/>
    </row>
    <row r="144" spans="2:7" x14ac:dyDescent="0.2">
      <c r="B144" s="173" t="s">
        <v>263</v>
      </c>
      <c r="D144" s="334">
        <v>327500</v>
      </c>
      <c r="E144" s="124">
        <f>D10</f>
        <v>0</v>
      </c>
      <c r="F144" s="125">
        <f>D17/8000</f>
        <v>0</v>
      </c>
      <c r="G144" s="120">
        <f>IF(E144&lt;30, 0, D144*E144*F144)</f>
        <v>0</v>
      </c>
    </row>
    <row r="145" spans="2:13" ht="15" thickBot="1" x14ac:dyDescent="0.25">
      <c r="G145" s="120"/>
    </row>
    <row r="146" spans="2:13" ht="15" thickTop="1" x14ac:dyDescent="0.2">
      <c r="B146" s="192"/>
      <c r="C146" s="192" t="s">
        <v>193</v>
      </c>
      <c r="D146" s="192"/>
      <c r="G146" s="122">
        <f>G144</f>
        <v>0</v>
      </c>
    </row>
    <row r="147" spans="2:13" x14ac:dyDescent="0.2">
      <c r="G147" s="120"/>
    </row>
    <row r="148" spans="2:13" x14ac:dyDescent="0.2">
      <c r="B148" s="192" t="s">
        <v>194</v>
      </c>
      <c r="C148" s="194"/>
      <c r="D148" s="193"/>
      <c r="E148" s="193"/>
      <c r="F148" s="193"/>
      <c r="G148" s="126"/>
    </row>
    <row r="149" spans="2:13" x14ac:dyDescent="0.2">
      <c r="B149" s="173" t="s">
        <v>195</v>
      </c>
      <c r="C149" s="173" t="s">
        <v>377</v>
      </c>
      <c r="D149" s="192"/>
      <c r="G149" s="120">
        <f>G135</f>
        <v>0</v>
      </c>
    </row>
    <row r="150" spans="2:13" x14ac:dyDescent="0.2">
      <c r="B150" s="173" t="s">
        <v>196</v>
      </c>
      <c r="C150" s="173" t="s">
        <v>197</v>
      </c>
      <c r="D150" s="192"/>
      <c r="G150" s="120">
        <f>G146</f>
        <v>0</v>
      </c>
    </row>
    <row r="151" spans="2:13" ht="15" thickBot="1" x14ac:dyDescent="0.25">
      <c r="D151" s="192"/>
      <c r="G151" s="127"/>
    </row>
    <row r="152" spans="2:13" ht="15" thickTop="1" x14ac:dyDescent="0.2">
      <c r="B152" s="173" t="s">
        <v>198</v>
      </c>
      <c r="C152" s="173" t="s">
        <v>199</v>
      </c>
      <c r="D152" s="192"/>
      <c r="G152" s="128">
        <f>G149-G150</f>
        <v>0</v>
      </c>
    </row>
    <row r="153" spans="2:13" x14ac:dyDescent="0.2">
      <c r="G153" s="120"/>
    </row>
    <row r="154" spans="2:13" x14ac:dyDescent="0.2">
      <c r="B154" s="173" t="s">
        <v>200</v>
      </c>
      <c r="C154" s="173" t="s">
        <v>267</v>
      </c>
      <c r="D154" s="192"/>
      <c r="E154" s="207"/>
      <c r="F154" s="207"/>
      <c r="G154" s="129">
        <f>IF(G6="","",G6)</f>
        <v>0.5</v>
      </c>
      <c r="I154" s="173" t="s">
        <v>327</v>
      </c>
    </row>
    <row r="155" spans="2:13" x14ac:dyDescent="0.2">
      <c r="B155" s="173" t="s">
        <v>201</v>
      </c>
      <c r="C155" s="173" t="s">
        <v>202</v>
      </c>
      <c r="D155" s="192"/>
      <c r="E155" s="192"/>
      <c r="F155" s="192"/>
      <c r="G155" s="128">
        <f>G152*G154</f>
        <v>0</v>
      </c>
    </row>
    <row r="156" spans="2:13" x14ac:dyDescent="0.2">
      <c r="G156" s="120"/>
    </row>
    <row r="157" spans="2:13" x14ac:dyDescent="0.2">
      <c r="B157" s="173" t="s">
        <v>203</v>
      </c>
      <c r="C157" s="173" t="s">
        <v>307</v>
      </c>
      <c r="D157" s="192"/>
      <c r="G157" s="120"/>
    </row>
    <row r="158" spans="2:13" x14ac:dyDescent="0.2">
      <c r="B158" s="429"/>
      <c r="C158" s="430"/>
      <c r="D158" s="430"/>
      <c r="E158" s="212"/>
      <c r="F158" s="212"/>
      <c r="G158" s="214">
        <v>0</v>
      </c>
      <c r="M158" s="208"/>
    </row>
    <row r="159" spans="2:13" x14ac:dyDescent="0.2">
      <c r="B159" s="431"/>
      <c r="C159" s="432"/>
      <c r="D159" s="432"/>
      <c r="E159" s="218"/>
      <c r="F159" s="218"/>
      <c r="G159" s="219">
        <v>0</v>
      </c>
    </row>
    <row r="160" spans="2:13" ht="15" thickBot="1" x14ac:dyDescent="0.25">
      <c r="B160" s="192"/>
      <c r="C160" s="415"/>
      <c r="D160" s="415"/>
      <c r="E160" s="415"/>
      <c r="F160" s="415"/>
      <c r="G160" s="130"/>
    </row>
    <row r="161" spans="2:13" ht="15" thickTop="1" x14ac:dyDescent="0.2">
      <c r="B161" s="173" t="s">
        <v>204</v>
      </c>
      <c r="C161" s="173" t="s">
        <v>205</v>
      </c>
      <c r="D161" s="192"/>
      <c r="E161" s="209"/>
      <c r="F161" s="210"/>
      <c r="G161" s="120">
        <f>(G155-G158-G159)</f>
        <v>0</v>
      </c>
    </row>
    <row r="162" spans="2:13" x14ac:dyDescent="0.2">
      <c r="C162" s="415"/>
      <c r="D162" s="415"/>
      <c r="E162" s="415"/>
      <c r="F162" s="415"/>
      <c r="G162" s="120"/>
    </row>
    <row r="163" spans="2:13" x14ac:dyDescent="0.2">
      <c r="B163" s="173" t="s">
        <v>206</v>
      </c>
      <c r="C163" s="173" t="s">
        <v>274</v>
      </c>
      <c r="D163" s="192"/>
      <c r="E163" s="192"/>
      <c r="F163" s="192"/>
      <c r="G163" s="338">
        <v>0</v>
      </c>
      <c r="I163" s="370" t="e">
        <f>IF(G163&gt;G161,"U vraagt meer subsidie aan dan de maximaal toegestane subsidie! ",G163/G149*100&amp; "% van de investeringkosten")</f>
        <v>#DIV/0!</v>
      </c>
    </row>
    <row r="164" spans="2:13" x14ac:dyDescent="0.2">
      <c r="C164" s="415"/>
      <c r="D164" s="415"/>
      <c r="E164" s="415"/>
      <c r="F164" s="415"/>
    </row>
    <row r="165" spans="2:13" x14ac:dyDescent="0.2">
      <c r="B165" s="192" t="s">
        <v>207</v>
      </c>
      <c r="C165" s="194"/>
      <c r="D165" s="193"/>
      <c r="E165" s="194"/>
      <c r="F165" s="194"/>
      <c r="G165" s="131"/>
    </row>
    <row r="166" spans="2:13" x14ac:dyDescent="0.2">
      <c r="B166" s="173" t="s">
        <v>208</v>
      </c>
      <c r="C166" s="173" t="s">
        <v>209</v>
      </c>
      <c r="G166" s="120">
        <f>G149</f>
        <v>0</v>
      </c>
    </row>
    <row r="167" spans="2:13" x14ac:dyDescent="0.2">
      <c r="B167" s="173" t="s">
        <v>210</v>
      </c>
      <c r="C167" s="173" t="s">
        <v>211</v>
      </c>
      <c r="G167" s="120">
        <f>G158+G159</f>
        <v>0</v>
      </c>
    </row>
    <row r="168" spans="2:13" x14ac:dyDescent="0.2">
      <c r="B168" s="173" t="s">
        <v>212</v>
      </c>
      <c r="C168" s="173" t="s">
        <v>213</v>
      </c>
      <c r="G168" s="132">
        <f>G163</f>
        <v>0</v>
      </c>
    </row>
    <row r="169" spans="2:13" x14ac:dyDescent="0.2">
      <c r="B169" s="173" t="s">
        <v>214</v>
      </c>
      <c r="C169" s="173" t="s">
        <v>215</v>
      </c>
      <c r="G169" s="128">
        <f>G166-G167-G168</f>
        <v>0</v>
      </c>
    </row>
    <row r="170" spans="2:13" x14ac:dyDescent="0.2">
      <c r="C170" s="173" t="s">
        <v>382</v>
      </c>
      <c r="G170" s="128"/>
    </row>
    <row r="171" spans="2:13" ht="15" x14ac:dyDescent="0.2">
      <c r="B171" s="163"/>
      <c r="C171" s="416"/>
      <c r="D171" s="416"/>
      <c r="E171" s="416"/>
      <c r="F171" s="416"/>
      <c r="G171" s="163"/>
    </row>
    <row r="172" spans="2:13" ht="15" x14ac:dyDescent="0.2">
      <c r="B172" s="192" t="s">
        <v>216</v>
      </c>
      <c r="C172" s="193"/>
      <c r="D172" s="193"/>
      <c r="E172" s="193"/>
      <c r="F172" s="193"/>
      <c r="G172" s="193"/>
      <c r="H172" s="163"/>
      <c r="I172" s="163"/>
      <c r="J172" s="163"/>
      <c r="K172" s="163"/>
      <c r="L172" s="163"/>
      <c r="M172" s="163"/>
    </row>
    <row r="173" spans="2:13" ht="15" x14ac:dyDescent="0.2">
      <c r="B173" s="417"/>
      <c r="C173" s="418"/>
      <c r="D173" s="418"/>
      <c r="E173" s="418"/>
      <c r="F173" s="418"/>
      <c r="G173" s="419"/>
      <c r="H173" s="211"/>
      <c r="I173" s="211"/>
      <c r="J173" s="211"/>
      <c r="K173" s="211"/>
      <c r="L173" s="211"/>
      <c r="M173" s="211"/>
    </row>
    <row r="174" spans="2:13" ht="14.25" customHeight="1" x14ac:dyDescent="0.2">
      <c r="B174" s="420"/>
      <c r="C174" s="421"/>
      <c r="D174" s="421"/>
      <c r="E174" s="421"/>
      <c r="F174" s="421"/>
      <c r="G174" s="422"/>
    </row>
    <row r="175" spans="2:13" ht="14.25" customHeight="1" x14ac:dyDescent="0.2">
      <c r="B175" s="420"/>
      <c r="C175" s="421"/>
      <c r="D175" s="421"/>
      <c r="E175" s="421"/>
      <c r="F175" s="421"/>
      <c r="G175" s="422"/>
    </row>
    <row r="176" spans="2:13" ht="14.25" customHeight="1" x14ac:dyDescent="0.2">
      <c r="B176" s="420"/>
      <c r="C176" s="421"/>
      <c r="D176" s="421"/>
      <c r="E176" s="421"/>
      <c r="F176" s="421"/>
      <c r="G176" s="422"/>
    </row>
    <row r="177" spans="2:7" ht="14.25" customHeight="1" x14ac:dyDescent="0.2">
      <c r="B177" s="420"/>
      <c r="C177" s="421"/>
      <c r="D177" s="421"/>
      <c r="E177" s="421"/>
      <c r="F177" s="421"/>
      <c r="G177" s="422"/>
    </row>
    <row r="178" spans="2:7" ht="14.25" customHeight="1" x14ac:dyDescent="0.2">
      <c r="B178" s="420"/>
      <c r="C178" s="421"/>
      <c r="D178" s="421"/>
      <c r="E178" s="421"/>
      <c r="F178" s="421"/>
      <c r="G178" s="422"/>
    </row>
    <row r="179" spans="2:7" ht="14.25" customHeight="1" x14ac:dyDescent="0.2">
      <c r="B179" s="420"/>
      <c r="C179" s="421"/>
      <c r="D179" s="421"/>
      <c r="E179" s="421"/>
      <c r="F179" s="421"/>
      <c r="G179" s="422"/>
    </row>
    <row r="180" spans="2:7" ht="14.25" customHeight="1" x14ac:dyDescent="0.2">
      <c r="B180" s="420"/>
      <c r="C180" s="421"/>
      <c r="D180" s="421"/>
      <c r="E180" s="421"/>
      <c r="F180" s="421"/>
      <c r="G180" s="422"/>
    </row>
    <row r="181" spans="2:7" ht="14.25" customHeight="1" x14ac:dyDescent="0.2">
      <c r="B181" s="420"/>
      <c r="C181" s="421"/>
      <c r="D181" s="421"/>
      <c r="E181" s="421"/>
      <c r="F181" s="421"/>
      <c r="G181" s="422"/>
    </row>
    <row r="182" spans="2:7" ht="14.25" customHeight="1" x14ac:dyDescent="0.2">
      <c r="B182" s="420"/>
      <c r="C182" s="421"/>
      <c r="D182" s="421"/>
      <c r="E182" s="421"/>
      <c r="F182" s="421"/>
      <c r="G182" s="422"/>
    </row>
    <row r="183" spans="2:7" ht="14.25" customHeight="1" x14ac:dyDescent="0.2">
      <c r="B183" s="420"/>
      <c r="C183" s="421"/>
      <c r="D183" s="421"/>
      <c r="E183" s="421"/>
      <c r="F183" s="421"/>
      <c r="G183" s="422"/>
    </row>
    <row r="184" spans="2:7" ht="14.25" customHeight="1" x14ac:dyDescent="0.2">
      <c r="B184" s="420"/>
      <c r="C184" s="421"/>
      <c r="D184" s="421"/>
      <c r="E184" s="421"/>
      <c r="F184" s="421"/>
      <c r="G184" s="422"/>
    </row>
    <row r="185" spans="2:7" ht="14.25" customHeight="1" x14ac:dyDescent="0.2">
      <c r="B185" s="420"/>
      <c r="C185" s="421"/>
      <c r="D185" s="421"/>
      <c r="E185" s="421"/>
      <c r="F185" s="421"/>
      <c r="G185" s="422"/>
    </row>
    <row r="186" spans="2:7" ht="14.25" customHeight="1" x14ac:dyDescent="0.2">
      <c r="B186" s="420"/>
      <c r="C186" s="421"/>
      <c r="D186" s="421"/>
      <c r="E186" s="421"/>
      <c r="F186" s="421"/>
      <c r="G186" s="422"/>
    </row>
    <row r="187" spans="2:7" ht="14.25" customHeight="1" x14ac:dyDescent="0.2">
      <c r="B187" s="420"/>
      <c r="C187" s="421"/>
      <c r="D187" s="421"/>
      <c r="E187" s="421"/>
      <c r="F187" s="421"/>
      <c r="G187" s="422"/>
    </row>
    <row r="188" spans="2:7" ht="14.25" customHeight="1" x14ac:dyDescent="0.2">
      <c r="B188" s="420"/>
      <c r="C188" s="421"/>
      <c r="D188" s="421"/>
      <c r="E188" s="421"/>
      <c r="F188" s="421"/>
      <c r="G188" s="422"/>
    </row>
    <row r="189" spans="2:7" ht="14.25" customHeight="1" x14ac:dyDescent="0.2">
      <c r="B189" s="420"/>
      <c r="C189" s="421"/>
      <c r="D189" s="421"/>
      <c r="E189" s="421"/>
      <c r="F189" s="421"/>
      <c r="G189" s="422"/>
    </row>
    <row r="190" spans="2:7" ht="14.25" customHeight="1" x14ac:dyDescent="0.2">
      <c r="B190" s="420"/>
      <c r="C190" s="421"/>
      <c r="D190" s="421"/>
      <c r="E190" s="421"/>
      <c r="F190" s="421"/>
      <c r="G190" s="422"/>
    </row>
    <row r="191" spans="2:7" ht="14.25" customHeight="1" x14ac:dyDescent="0.2">
      <c r="B191" s="420"/>
      <c r="C191" s="421"/>
      <c r="D191" s="421"/>
      <c r="E191" s="421"/>
      <c r="F191" s="421"/>
      <c r="G191" s="422"/>
    </row>
    <row r="192" spans="2:7" ht="14.25" customHeight="1" x14ac:dyDescent="0.2">
      <c r="B192" s="420"/>
      <c r="C192" s="421"/>
      <c r="D192" s="421"/>
      <c r="E192" s="421"/>
      <c r="F192" s="421"/>
      <c r="G192" s="422"/>
    </row>
    <row r="193" spans="2:7" ht="14.25" customHeight="1" x14ac:dyDescent="0.2">
      <c r="B193" s="420"/>
      <c r="C193" s="421"/>
      <c r="D193" s="421"/>
      <c r="E193" s="421"/>
      <c r="F193" s="421"/>
      <c r="G193" s="422"/>
    </row>
    <row r="194" spans="2:7" ht="14.25" customHeight="1" x14ac:dyDescent="0.2">
      <c r="B194" s="420"/>
      <c r="C194" s="421"/>
      <c r="D194" s="421"/>
      <c r="E194" s="421"/>
      <c r="F194" s="421"/>
      <c r="G194" s="422"/>
    </row>
    <row r="195" spans="2:7" ht="15" customHeight="1" x14ac:dyDescent="0.2">
      <c r="B195" s="423"/>
      <c r="C195" s="424"/>
      <c r="D195" s="424"/>
      <c r="E195" s="424"/>
      <c r="F195" s="424"/>
      <c r="G195" s="425"/>
    </row>
    <row r="196" spans="2:7" ht="14.25" customHeight="1" x14ac:dyDescent="0.2"/>
    <row r="197" spans="2:7" ht="14.25" customHeight="1" x14ac:dyDescent="0.2"/>
  </sheetData>
  <sheetProtection algorithmName="SHA-512" hashValue="ffABwe1hMp/s1AIGq7+H4ADzzP/Ln/GqmLq7SQt4/u90cVtutc/ybi0ndwx+j/l6rlZtFUWogc6Utd9P0yR3IQ==" saltValue="60+IwP0R+0hvuvYcp1zVQg==" spinCount="100000" sheet="1" objects="1" scenarios="1"/>
  <mergeCells count="74">
    <mergeCell ref="C171:F171"/>
    <mergeCell ref="B173:G195"/>
    <mergeCell ref="B129:D129"/>
    <mergeCell ref="B130:D130"/>
    <mergeCell ref="B131:D131"/>
    <mergeCell ref="B141:G141"/>
    <mergeCell ref="C160:F160"/>
    <mergeCell ref="C162:F162"/>
    <mergeCell ref="B158:D158"/>
    <mergeCell ref="B159:D159"/>
    <mergeCell ref="B115:D115"/>
    <mergeCell ref="B121:D121"/>
    <mergeCell ref="B100:D100"/>
    <mergeCell ref="D32:E32"/>
    <mergeCell ref="C164:F164"/>
    <mergeCell ref="B128:D128"/>
    <mergeCell ref="B101:D101"/>
    <mergeCell ref="B102:D102"/>
    <mergeCell ref="B106:D106"/>
    <mergeCell ref="B88:D88"/>
    <mergeCell ref="B89:D89"/>
    <mergeCell ref="B90:D90"/>
    <mergeCell ref="B113:D113"/>
    <mergeCell ref="B114:D114"/>
    <mergeCell ref="B91:D91"/>
    <mergeCell ref="B92:D92"/>
    <mergeCell ref="B93:D93"/>
    <mergeCell ref="B85:D85"/>
    <mergeCell ref="B63:D63"/>
    <mergeCell ref="B64:D64"/>
    <mergeCell ref="B65:D65"/>
    <mergeCell ref="B66:D66"/>
    <mergeCell ref="B67:D67"/>
    <mergeCell ref="B68:D68"/>
    <mergeCell ref="B69:D69"/>
    <mergeCell ref="B70:D70"/>
    <mergeCell ref="B77:D77"/>
    <mergeCell ref="B84:D84"/>
    <mergeCell ref="B86:D86"/>
    <mergeCell ref="B87:D87"/>
    <mergeCell ref="B49:D49"/>
    <mergeCell ref="D25:E25"/>
    <mergeCell ref="D30:E30"/>
    <mergeCell ref="D26:E26"/>
    <mergeCell ref="D27:E27"/>
    <mergeCell ref="D31:E31"/>
    <mergeCell ref="D37:E37"/>
    <mergeCell ref="D35:E35"/>
    <mergeCell ref="D40:E40"/>
    <mergeCell ref="D39:E39"/>
    <mergeCell ref="D38:E38"/>
    <mergeCell ref="D36:E36"/>
    <mergeCell ref="D34:E34"/>
    <mergeCell ref="B56:D56"/>
    <mergeCell ref="B50:D50"/>
    <mergeCell ref="B51:D51"/>
    <mergeCell ref="B52:D52"/>
    <mergeCell ref="B53:D53"/>
    <mergeCell ref="B54:D54"/>
    <mergeCell ref="B55:D55"/>
    <mergeCell ref="D20:E20"/>
    <mergeCell ref="D22:E22"/>
    <mergeCell ref="D21:E21"/>
    <mergeCell ref="D4:E4"/>
    <mergeCell ref="C8:G8"/>
    <mergeCell ref="D17:E17"/>
    <mergeCell ref="D10:E10"/>
    <mergeCell ref="D5:G5"/>
    <mergeCell ref="D6:E6"/>
    <mergeCell ref="D7:G7"/>
    <mergeCell ref="D16:E16"/>
    <mergeCell ref="D15:E15"/>
    <mergeCell ref="D11:E11"/>
    <mergeCell ref="D12:E12"/>
  </mergeCells>
  <phoneticPr fontId="75" type="noConversion"/>
  <conditionalFormatting sqref="D37:E37">
    <cfRule type="expression" dxfId="207" priority="1">
      <formula>D37&gt;9</formula>
    </cfRule>
  </conditionalFormatting>
  <conditionalFormatting sqref="G163">
    <cfRule type="cellIs" dxfId="206" priority="3" stopIfTrue="1" operator="lessThan">
      <formula>1</formula>
    </cfRule>
  </conditionalFormatting>
  <dataValidations count="3">
    <dataValidation type="whole" allowBlank="1" showInputMessage="1" showErrorMessage="1" error="Let op: De maximum subsidie mag niet meer dan bedragen dan de maximale subsidie (C7)." sqref="G163" xr:uid="{522BE980-D49D-4A13-B6E8-CFF75B97AAC4}">
      <formula1>0</formula1>
      <formula2>G161</formula2>
    </dataValidation>
    <dataValidation type="whole" allowBlank="1" showInputMessage="1" showErrorMessage="1" error="U moet hier een geheel aantal jaren invullen (minimaal het aantal jaren van de subsidie-exploitatielooptijd en maximaal 15 jaar)" sqref="D35:E35" xr:uid="{740E7011-F338-484C-A79D-5C96A6003B37}">
      <formula1>D34</formula1>
      <formula2>15</formula2>
    </dataValidation>
    <dataValidation type="whole" allowBlank="1" showInputMessage="1" showErrorMessage="1" error="U moet hier een geheel aantal jaren invullen (minimaal 7 jaar en maximaal 15 jaar)_x000a_" sqref="D34:E34" xr:uid="{7EBB177C-B5E9-4662-B99B-79060B0C407B}">
      <formula1>7</formula1>
      <formula2>15</formula2>
    </dataValidation>
  </dataValidations>
  <pageMargins left="0.25" right="0.25" top="0.75" bottom="0.75" header="0.3" footer="0.3"/>
  <pageSetup paperSize="9" scale="68" fitToHeight="0" orientation="portrait" r:id="rId1"/>
  <rowBreaks count="3" manualBreakCount="3">
    <brk id="96" min="1" max="6" man="1"/>
    <brk id="136" min="1" max="6" man="1"/>
    <brk id="200" max="7" man="1"/>
  </rowBreaks>
  <colBreaks count="1" manualBreakCount="1">
    <brk id="7" max="1048575" man="1"/>
  </colBreaks>
  <ignoredErrors>
    <ignoredError sqref="D12 D16 D3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3E40636-51B3-4462-8536-BC7D2DE92E99}">
          <x14:formula1>
            <xm:f>Hulpblad_overig!$C$9:$C$11</xm:f>
          </x14:formula1>
          <xm:sqref>D6:E6</xm:sqref>
        </x14:dataValidation>
        <x14:dataValidation type="list" allowBlank="1" showInputMessage="1" showErrorMessage="1" xr:uid="{1FC90CAC-4027-4CD9-9A75-451E90445207}">
          <x14:formula1>
            <xm:f>Hulpblad_categorieën_parameters!$B$2:$B$4</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41E9F-4252-4B71-AA97-9D0EEE84FB59}">
  <sheetPr>
    <pageSetUpPr fitToPage="1"/>
  </sheetPr>
  <dimension ref="A1:Q37"/>
  <sheetViews>
    <sheetView showGridLines="0" zoomScaleNormal="100" workbookViewId="0">
      <selection activeCell="I46" sqref="I46"/>
    </sheetView>
  </sheetViews>
  <sheetFormatPr defaultColWidth="9.140625" defaultRowHeight="12.75" x14ac:dyDescent="0.2"/>
  <cols>
    <col min="1" max="1" width="4.85546875" style="158" customWidth="1"/>
    <col min="2" max="2" width="35.7109375" style="158" bestFit="1" customWidth="1"/>
    <col min="3" max="13" width="12.7109375" style="158" customWidth="1"/>
    <col min="14" max="16" width="9.140625" style="158"/>
    <col min="17" max="17" width="16" style="158" customWidth="1"/>
    <col min="18" max="16384" width="9.140625" style="158"/>
  </cols>
  <sheetData>
    <row r="1" spans="1:17" ht="18" x14ac:dyDescent="0.25">
      <c r="A1" s="222"/>
      <c r="B1" s="172" t="s">
        <v>169</v>
      </c>
      <c r="C1" s="172"/>
      <c r="D1" s="143"/>
      <c r="E1" s="223"/>
      <c r="F1" s="223"/>
      <c r="G1" s="224"/>
      <c r="H1" s="224"/>
      <c r="I1" s="224"/>
      <c r="J1" s="224"/>
      <c r="K1" s="224"/>
      <c r="L1" s="224"/>
      <c r="M1" s="155"/>
    </row>
    <row r="2" spans="1:17" ht="24" customHeight="1" x14ac:dyDescent="0.25">
      <c r="A2" s="222"/>
      <c r="B2" s="225" t="s">
        <v>173</v>
      </c>
      <c r="C2" s="442">
        <f>'Proj.gegevens_invest.begroting'!D4</f>
        <v>0</v>
      </c>
      <c r="D2" s="443"/>
      <c r="E2" s="227"/>
      <c r="F2" s="227"/>
      <c r="G2" s="223"/>
      <c r="H2" s="223"/>
      <c r="I2" s="223"/>
      <c r="J2" s="223"/>
      <c r="K2" s="223"/>
      <c r="L2" s="224"/>
      <c r="M2" s="155"/>
    </row>
    <row r="3" spans="1:17" ht="19.5" customHeight="1" x14ac:dyDescent="0.2">
      <c r="E3" s="226"/>
      <c r="F3" s="226"/>
    </row>
    <row r="4" spans="1:17" ht="19.5" customHeight="1" x14ac:dyDescent="0.2">
      <c r="A4" s="143"/>
      <c r="B4" s="222"/>
      <c r="C4" s="222"/>
      <c r="D4" s="155"/>
      <c r="E4" s="155"/>
      <c r="F4" s="155"/>
      <c r="G4" s="155"/>
      <c r="H4" s="155"/>
      <c r="I4" s="155"/>
      <c r="J4" s="155"/>
      <c r="K4" s="354"/>
    </row>
    <row r="5" spans="1:17" ht="19.5" customHeight="1" x14ac:dyDescent="0.2">
      <c r="A5" s="143"/>
      <c r="B5" s="222"/>
      <c r="C5" s="222"/>
      <c r="D5" s="155"/>
      <c r="E5" s="155"/>
      <c r="F5" s="155"/>
      <c r="G5" s="155"/>
      <c r="H5" s="155"/>
      <c r="I5" s="155"/>
      <c r="J5" s="155"/>
    </row>
    <row r="6" spans="1:17" ht="19.5" customHeight="1" x14ac:dyDescent="0.2">
      <c r="A6" s="143"/>
      <c r="B6" s="222"/>
      <c r="C6" s="222"/>
      <c r="D6" s="155"/>
      <c r="E6" s="155"/>
      <c r="F6" s="155"/>
      <c r="G6" s="155"/>
      <c r="H6" s="155"/>
      <c r="I6" s="155"/>
      <c r="J6" s="155"/>
      <c r="O6" s="143"/>
    </row>
    <row r="7" spans="1:17" ht="19.5" customHeight="1" x14ac:dyDescent="0.2">
      <c r="A7" s="143"/>
      <c r="B7" s="222"/>
      <c r="C7" s="222"/>
      <c r="D7" s="155"/>
      <c r="E7" s="155"/>
      <c r="F7" s="155"/>
      <c r="G7" s="155"/>
      <c r="H7" s="155"/>
      <c r="I7" s="155"/>
      <c r="J7" s="155"/>
      <c r="O7" s="143"/>
    </row>
    <row r="8" spans="1:17" ht="19.5" customHeight="1" x14ac:dyDescent="0.2">
      <c r="A8" s="143"/>
      <c r="B8" s="222"/>
      <c r="C8" s="222"/>
      <c r="D8" s="155"/>
      <c r="E8" s="155"/>
      <c r="F8" s="155"/>
      <c r="G8" s="155"/>
      <c r="H8" s="155"/>
      <c r="I8" s="155"/>
      <c r="J8" s="155"/>
      <c r="K8" s="155"/>
      <c r="L8" s="155"/>
      <c r="M8" s="143"/>
    </row>
    <row r="9" spans="1:17" ht="19.5" customHeight="1" x14ac:dyDescent="0.2">
      <c r="A9" s="143"/>
      <c r="B9" s="222"/>
      <c r="C9" s="222"/>
      <c r="D9" s="155"/>
      <c r="E9" s="155"/>
      <c r="F9" s="155"/>
      <c r="G9" s="155"/>
      <c r="H9" s="155"/>
      <c r="I9" s="155"/>
      <c r="J9" s="155"/>
      <c r="K9" s="155"/>
      <c r="L9" s="155"/>
      <c r="M9" s="143"/>
    </row>
    <row r="10" spans="1:17" ht="19.5" customHeight="1" x14ac:dyDescent="0.25">
      <c r="A10" s="224"/>
      <c r="B10" s="228"/>
      <c r="C10" s="228"/>
      <c r="D10" s="229"/>
      <c r="E10" s="229"/>
      <c r="F10" s="229"/>
      <c r="G10" s="229"/>
      <c r="H10" s="229"/>
      <c r="I10" s="229"/>
      <c r="J10" s="229"/>
      <c r="K10" s="229"/>
      <c r="L10" s="229"/>
      <c r="M10" s="229"/>
    </row>
    <row r="11" spans="1:17" ht="19.5" customHeight="1" x14ac:dyDescent="0.2">
      <c r="A11" s="143"/>
      <c r="B11" s="230"/>
      <c r="C11" s="230"/>
      <c r="D11" s="155"/>
      <c r="E11" s="155"/>
      <c r="F11" s="155"/>
      <c r="G11" s="155"/>
      <c r="H11" s="155"/>
      <c r="I11" s="155"/>
      <c r="J11" s="155"/>
      <c r="K11" s="155"/>
      <c r="L11" s="155"/>
      <c r="M11" s="143"/>
    </row>
    <row r="12" spans="1:17" ht="19.5" customHeight="1" x14ac:dyDescent="0.2">
      <c r="A12" s="143"/>
      <c r="B12" s="230"/>
      <c r="C12" s="230"/>
      <c r="D12" s="155"/>
      <c r="E12" s="155"/>
      <c r="F12" s="155"/>
      <c r="G12" s="155"/>
      <c r="H12" s="155"/>
      <c r="I12" s="155"/>
      <c r="J12" s="155"/>
      <c r="K12" s="155"/>
      <c r="L12" s="155"/>
      <c r="M12" s="143"/>
    </row>
    <row r="13" spans="1:17" ht="19.5" customHeight="1" x14ac:dyDescent="0.2">
      <c r="A13" s="143"/>
      <c r="B13" s="231" t="str">
        <f>IF(M16&gt;'Proj.gegevens_invest.begroting'!G149,"De totale kosten per mijlpaal zijn hoger dan opgegeven in de investeringsbegroting","" )</f>
        <v/>
      </c>
      <c r="C13" s="230"/>
      <c r="D13" s="155"/>
      <c r="E13" s="155"/>
      <c r="F13" s="155"/>
      <c r="G13" s="155"/>
      <c r="H13" s="155"/>
      <c r="I13" s="155"/>
      <c r="J13" s="155"/>
      <c r="K13" s="155"/>
      <c r="L13" s="155"/>
      <c r="M13" s="143"/>
    </row>
    <row r="14" spans="1:17" ht="15" x14ac:dyDescent="0.2">
      <c r="A14" s="143"/>
      <c r="B14" s="231"/>
      <c r="C14" s="155">
        <v>1</v>
      </c>
      <c r="D14" s="155">
        <v>2</v>
      </c>
      <c r="E14" s="155">
        <v>3</v>
      </c>
      <c r="F14" s="155">
        <v>4</v>
      </c>
      <c r="G14" s="155">
        <v>5</v>
      </c>
      <c r="H14" s="155">
        <v>6</v>
      </c>
      <c r="I14" s="155">
        <v>7</v>
      </c>
      <c r="J14" s="155">
        <v>8</v>
      </c>
      <c r="K14" s="155">
        <v>9</v>
      </c>
      <c r="L14" s="155">
        <v>10</v>
      </c>
      <c r="M14" s="143"/>
    </row>
    <row r="15" spans="1:17" ht="34.5" customHeight="1" x14ac:dyDescent="0.2">
      <c r="A15" s="143"/>
      <c r="B15" s="232" t="s">
        <v>217</v>
      </c>
      <c r="C15" s="233" t="s">
        <v>218</v>
      </c>
      <c r="D15" s="233" t="s">
        <v>219</v>
      </c>
      <c r="E15" s="233" t="s">
        <v>220</v>
      </c>
      <c r="F15" s="233" t="s">
        <v>221</v>
      </c>
      <c r="G15" s="233" t="s">
        <v>222</v>
      </c>
      <c r="H15" s="233" t="s">
        <v>223</v>
      </c>
      <c r="I15" s="233" t="s">
        <v>224</v>
      </c>
      <c r="J15" s="233" t="s">
        <v>225</v>
      </c>
      <c r="K15" s="233" t="s">
        <v>226</v>
      </c>
      <c r="L15" s="233" t="s">
        <v>227</v>
      </c>
      <c r="M15" s="234" t="s">
        <v>228</v>
      </c>
    </row>
    <row r="16" spans="1:17" ht="23.25" x14ac:dyDescent="0.2">
      <c r="A16" s="143"/>
      <c r="B16" s="235" t="s">
        <v>229</v>
      </c>
      <c r="C16" s="109">
        <v>0</v>
      </c>
      <c r="D16" s="109"/>
      <c r="E16" s="109"/>
      <c r="F16" s="109"/>
      <c r="G16" s="110"/>
      <c r="H16" s="110"/>
      <c r="I16" s="110"/>
      <c r="J16" s="110"/>
      <c r="K16" s="110"/>
      <c r="L16" s="110"/>
      <c r="M16" s="247">
        <f>SUM(C16:L16)</f>
        <v>0</v>
      </c>
      <c r="N16" s="236" t="str">
        <f>IF(M16='Proj.gegevens_invest.begroting'!G135,"","Let op: Het investeringsbedrag komt (nog) niet overeen met uw opgave op het tabblad Investeringsbegroting")</f>
        <v/>
      </c>
      <c r="O16" s="237"/>
      <c r="Q16" s="238"/>
    </row>
    <row r="17" spans="1:17" x14ac:dyDescent="0.2">
      <c r="A17" s="143"/>
      <c r="B17" s="235" t="s">
        <v>230</v>
      </c>
      <c r="C17" s="372" t="e">
        <f>IF(C16="","",((C16/'Proj.gegevens_invest.begroting'!$G$149)*'Proj.gegevens_invest.begroting'!$G$163)*0.9)</f>
        <v>#DIV/0!</v>
      </c>
      <c r="D17" s="372" t="str">
        <f>IF(D16="","",((D16/'Proj.gegevens_invest.begroting'!$G$149)*'Proj.gegevens_invest.begroting'!$G$163)*0.9)</f>
        <v/>
      </c>
      <c r="E17" s="372" t="str">
        <f>IF(E16="","",((E16/'Proj.gegevens_invest.begroting'!$G$149)*'Proj.gegevens_invest.begroting'!$G$163)*0.9)</f>
        <v/>
      </c>
      <c r="F17" s="372" t="str">
        <f>IF(F16="","",((F16/'Proj.gegevens_invest.begroting'!$G$149)*'Proj.gegevens_invest.begroting'!$G$163)*0.9)</f>
        <v/>
      </c>
      <c r="G17" s="372" t="str">
        <f>IF(G16="","",((G16/'Proj.gegevens_invest.begroting'!$G$149)*'Proj.gegevens_invest.begroting'!$G$163)*0.9)</f>
        <v/>
      </c>
      <c r="H17" s="372" t="str">
        <f>IF(H16="","",((H16/'Proj.gegevens_invest.begroting'!$G$149)*'Proj.gegevens_invest.begroting'!$G$163)*0.9)</f>
        <v/>
      </c>
      <c r="I17" s="372" t="str">
        <f>IF(I16="","",((I16/'Proj.gegevens_invest.begroting'!$G$149)*'Proj.gegevens_invest.begroting'!$G$163)*0.9)</f>
        <v/>
      </c>
      <c r="J17" s="372" t="str">
        <f>IF(J16="","",((J16/'Proj.gegevens_invest.begroting'!$G$149)*'Proj.gegevens_invest.begroting'!$G$163)*0.9)</f>
        <v/>
      </c>
      <c r="K17" s="372" t="str">
        <f>IF(K16="","",((K16/'Proj.gegevens_invest.begroting'!$G$149)*'Proj.gegevens_invest.begroting'!$G$163)*0.9)</f>
        <v/>
      </c>
      <c r="L17" s="372" t="str">
        <f>IF(L16="","",((L16/'Proj.gegevens_invest.begroting'!$G$149)*'Proj.gegevens_invest.begroting'!$G$163)*0.9)</f>
        <v/>
      </c>
      <c r="M17" s="373" t="e">
        <f>SUM(C17:L17)</f>
        <v>#DIV/0!</v>
      </c>
      <c r="O17" s="143"/>
    </row>
    <row r="18" spans="1:17" x14ac:dyDescent="0.2">
      <c r="A18" s="143"/>
      <c r="B18" s="235" t="s">
        <v>231</v>
      </c>
      <c r="C18" s="374">
        <f>IF('Proj.gegevens_invest.begroting'!D39&gt;0,'Proj.gegevens_invest.begroting'!D39,"")</f>
        <v>36678</v>
      </c>
      <c r="D18" s="374" t="str">
        <f>IF(C19="","",IF(C19&lt;'Proj.gegevens_invest.begroting'!$D$40,C19+1,""))</f>
        <v/>
      </c>
      <c r="E18" s="374" t="str">
        <f>IF(D19="","",IF(D19&lt;'Proj.gegevens_invest.begroting'!$D$40,D19+1,""))</f>
        <v/>
      </c>
      <c r="F18" s="374" t="str">
        <f>IF(E19="","",IF(E19&lt;'Proj.gegevens_invest.begroting'!$D$40,E19+1,""))</f>
        <v/>
      </c>
      <c r="G18" s="374" t="str">
        <f>IF(F19="","",IF(F19&lt;'Proj.gegevens_invest.begroting'!$D$40,F19+1,""))</f>
        <v/>
      </c>
      <c r="H18" s="374" t="str">
        <f>IF(G19="","",IF(G19&lt;'Proj.gegevens_invest.begroting'!$D$40,G19+1,""))</f>
        <v/>
      </c>
      <c r="I18" s="374" t="str">
        <f>IF(H19="","",IF(H19&lt;'Proj.gegevens_invest.begroting'!$D$40,H19+1,""))</f>
        <v/>
      </c>
      <c r="J18" s="374" t="str">
        <f>IF(I19="","",IF(I19&lt;'Proj.gegevens_invest.begroting'!$D$40,I19+1,""))</f>
        <v/>
      </c>
      <c r="K18" s="374" t="str">
        <f>IF(J19="","",IF(J19&lt;'Proj.gegevens_invest.begroting'!$D$40,J19+1,""))</f>
        <v/>
      </c>
      <c r="L18" s="374" t="str">
        <f>IF(K19="","",IF(K19&lt;'Proj.gegevens_invest.begroting'!$D$40,K19+1,""))</f>
        <v/>
      </c>
      <c r="M18" s="375"/>
    </row>
    <row r="19" spans="1:17" x14ac:dyDescent="0.2">
      <c r="A19" s="143"/>
      <c r="B19" s="239" t="s">
        <v>232</v>
      </c>
      <c r="C19" s="111"/>
      <c r="D19" s="111"/>
      <c r="E19" s="111"/>
      <c r="F19" s="111"/>
      <c r="G19" s="111"/>
      <c r="H19" s="111"/>
      <c r="I19" s="111"/>
      <c r="J19" s="111"/>
      <c r="K19" s="111"/>
      <c r="L19" s="111"/>
      <c r="M19" s="248"/>
    </row>
    <row r="20" spans="1:17" ht="20.25" x14ac:dyDescent="0.3">
      <c r="A20" s="143"/>
      <c r="B20" s="240" t="s">
        <v>233</v>
      </c>
      <c r="C20" s="241"/>
      <c r="D20" s="242"/>
      <c r="E20" s="243"/>
      <c r="F20" s="244"/>
      <c r="G20" s="245"/>
      <c r="H20" s="245"/>
      <c r="I20" s="245"/>
      <c r="J20" s="245"/>
      <c r="K20" s="245"/>
      <c r="L20" s="245"/>
      <c r="M20" s="246"/>
      <c r="Q20" s="238"/>
    </row>
    <row r="21" spans="1:17" x14ac:dyDescent="0.2">
      <c r="A21" s="143"/>
      <c r="B21" s="433"/>
      <c r="C21" s="434"/>
      <c r="D21" s="434"/>
      <c r="E21" s="434"/>
      <c r="F21" s="434"/>
      <c r="G21" s="434"/>
      <c r="H21" s="434"/>
      <c r="I21" s="434"/>
      <c r="J21" s="434"/>
      <c r="K21" s="434"/>
      <c r="L21" s="434"/>
      <c r="M21" s="435"/>
    </row>
    <row r="22" spans="1:17" x14ac:dyDescent="0.2">
      <c r="A22" s="143"/>
      <c r="B22" s="436"/>
      <c r="C22" s="437"/>
      <c r="D22" s="437"/>
      <c r="E22" s="437"/>
      <c r="F22" s="437"/>
      <c r="G22" s="437"/>
      <c r="H22" s="437"/>
      <c r="I22" s="437"/>
      <c r="J22" s="437"/>
      <c r="K22" s="437"/>
      <c r="L22" s="437"/>
      <c r="M22" s="438"/>
    </row>
    <row r="23" spans="1:17" x14ac:dyDescent="0.2">
      <c r="A23" s="143"/>
      <c r="B23" s="436"/>
      <c r="C23" s="437"/>
      <c r="D23" s="437"/>
      <c r="E23" s="437"/>
      <c r="F23" s="437"/>
      <c r="G23" s="437"/>
      <c r="H23" s="437"/>
      <c r="I23" s="437"/>
      <c r="J23" s="437"/>
      <c r="K23" s="437"/>
      <c r="L23" s="437"/>
      <c r="M23" s="438"/>
    </row>
    <row r="24" spans="1:17" x14ac:dyDescent="0.2">
      <c r="A24" s="143"/>
      <c r="B24" s="436"/>
      <c r="C24" s="437"/>
      <c r="D24" s="437"/>
      <c r="E24" s="437"/>
      <c r="F24" s="437"/>
      <c r="G24" s="437"/>
      <c r="H24" s="437"/>
      <c r="I24" s="437"/>
      <c r="J24" s="437"/>
      <c r="K24" s="437"/>
      <c r="L24" s="437"/>
      <c r="M24" s="438"/>
    </row>
    <row r="25" spans="1:17" x14ac:dyDescent="0.2">
      <c r="A25" s="143"/>
      <c r="B25" s="436"/>
      <c r="C25" s="437"/>
      <c r="D25" s="437"/>
      <c r="E25" s="437"/>
      <c r="F25" s="437"/>
      <c r="G25" s="437"/>
      <c r="H25" s="437"/>
      <c r="I25" s="437"/>
      <c r="J25" s="437"/>
      <c r="K25" s="437"/>
      <c r="L25" s="437"/>
      <c r="M25" s="438"/>
    </row>
    <row r="26" spans="1:17" x14ac:dyDescent="0.2">
      <c r="A26" s="143"/>
      <c r="B26" s="436"/>
      <c r="C26" s="437"/>
      <c r="D26" s="437"/>
      <c r="E26" s="437"/>
      <c r="F26" s="437"/>
      <c r="G26" s="437"/>
      <c r="H26" s="437"/>
      <c r="I26" s="437"/>
      <c r="J26" s="437"/>
      <c r="K26" s="437"/>
      <c r="L26" s="437"/>
      <c r="M26" s="438"/>
    </row>
    <row r="27" spans="1:17" x14ac:dyDescent="0.2">
      <c r="A27" s="143"/>
      <c r="B27" s="436"/>
      <c r="C27" s="437"/>
      <c r="D27" s="437"/>
      <c r="E27" s="437"/>
      <c r="F27" s="437"/>
      <c r="G27" s="437"/>
      <c r="H27" s="437"/>
      <c r="I27" s="437"/>
      <c r="J27" s="437"/>
      <c r="K27" s="437"/>
      <c r="L27" s="437"/>
      <c r="M27" s="438"/>
    </row>
    <row r="28" spans="1:17" ht="15" x14ac:dyDescent="0.2">
      <c r="A28" s="155"/>
      <c r="B28" s="436"/>
      <c r="C28" s="437"/>
      <c r="D28" s="437"/>
      <c r="E28" s="437"/>
      <c r="F28" s="437"/>
      <c r="G28" s="437"/>
      <c r="H28" s="437"/>
      <c r="I28" s="437"/>
      <c r="J28" s="437"/>
      <c r="K28" s="437"/>
      <c r="L28" s="437"/>
      <c r="M28" s="438"/>
    </row>
    <row r="29" spans="1:17" ht="15" x14ac:dyDescent="0.2">
      <c r="A29" s="155"/>
      <c r="B29" s="436"/>
      <c r="C29" s="437"/>
      <c r="D29" s="437"/>
      <c r="E29" s="437"/>
      <c r="F29" s="437"/>
      <c r="G29" s="437"/>
      <c r="H29" s="437"/>
      <c r="I29" s="437"/>
      <c r="J29" s="437"/>
      <c r="K29" s="437"/>
      <c r="L29" s="437"/>
      <c r="M29" s="438"/>
    </row>
    <row r="30" spans="1:17" ht="15" x14ac:dyDescent="0.2">
      <c r="A30" s="155"/>
      <c r="B30" s="436"/>
      <c r="C30" s="437"/>
      <c r="D30" s="437"/>
      <c r="E30" s="437"/>
      <c r="F30" s="437"/>
      <c r="G30" s="437"/>
      <c r="H30" s="437"/>
      <c r="I30" s="437"/>
      <c r="J30" s="437"/>
      <c r="K30" s="437"/>
      <c r="L30" s="437"/>
      <c r="M30" s="438"/>
    </row>
    <row r="31" spans="1:17" ht="15" x14ac:dyDescent="0.2">
      <c r="A31" s="155"/>
      <c r="B31" s="436"/>
      <c r="C31" s="437"/>
      <c r="D31" s="437"/>
      <c r="E31" s="437"/>
      <c r="F31" s="437"/>
      <c r="G31" s="437"/>
      <c r="H31" s="437"/>
      <c r="I31" s="437"/>
      <c r="J31" s="437"/>
      <c r="K31" s="437"/>
      <c r="L31" s="437"/>
      <c r="M31" s="438"/>
    </row>
    <row r="32" spans="1:17" ht="15" x14ac:dyDescent="0.2">
      <c r="A32" s="155"/>
      <c r="B32" s="436"/>
      <c r="C32" s="437"/>
      <c r="D32" s="437"/>
      <c r="E32" s="437"/>
      <c r="F32" s="437"/>
      <c r="G32" s="437"/>
      <c r="H32" s="437"/>
      <c r="I32" s="437"/>
      <c r="J32" s="437"/>
      <c r="K32" s="437"/>
      <c r="L32" s="437"/>
      <c r="M32" s="438"/>
    </row>
    <row r="33" spans="1:13" ht="15" x14ac:dyDescent="0.2">
      <c r="A33" s="155"/>
      <c r="B33" s="436"/>
      <c r="C33" s="437"/>
      <c r="D33" s="437"/>
      <c r="E33" s="437"/>
      <c r="F33" s="437"/>
      <c r="G33" s="437"/>
      <c r="H33" s="437"/>
      <c r="I33" s="437"/>
      <c r="J33" s="437"/>
      <c r="K33" s="437"/>
      <c r="L33" s="437"/>
      <c r="M33" s="438"/>
    </row>
    <row r="34" spans="1:13" ht="15" x14ac:dyDescent="0.2">
      <c r="A34" s="155"/>
      <c r="B34" s="436"/>
      <c r="C34" s="437"/>
      <c r="D34" s="437"/>
      <c r="E34" s="437"/>
      <c r="F34" s="437"/>
      <c r="G34" s="437"/>
      <c r="H34" s="437"/>
      <c r="I34" s="437"/>
      <c r="J34" s="437"/>
      <c r="K34" s="437"/>
      <c r="L34" s="437"/>
      <c r="M34" s="438"/>
    </row>
    <row r="35" spans="1:13" x14ac:dyDescent="0.2">
      <c r="B35" s="436"/>
      <c r="C35" s="437"/>
      <c r="D35" s="437"/>
      <c r="E35" s="437"/>
      <c r="F35" s="437"/>
      <c r="G35" s="437"/>
      <c r="H35" s="437"/>
      <c r="I35" s="437"/>
      <c r="J35" s="437"/>
      <c r="K35" s="437"/>
      <c r="L35" s="437"/>
      <c r="M35" s="438"/>
    </row>
    <row r="36" spans="1:13" x14ac:dyDescent="0.2">
      <c r="B36" s="436"/>
      <c r="C36" s="437"/>
      <c r="D36" s="437"/>
      <c r="E36" s="437"/>
      <c r="F36" s="437"/>
      <c r="G36" s="437"/>
      <c r="H36" s="437"/>
      <c r="I36" s="437"/>
      <c r="J36" s="437"/>
      <c r="K36" s="437"/>
      <c r="L36" s="437"/>
      <c r="M36" s="438"/>
    </row>
    <row r="37" spans="1:13" x14ac:dyDescent="0.2">
      <c r="B37" s="439"/>
      <c r="C37" s="440"/>
      <c r="D37" s="440"/>
      <c r="E37" s="440"/>
      <c r="F37" s="440"/>
      <c r="G37" s="440"/>
      <c r="H37" s="440"/>
      <c r="I37" s="440"/>
      <c r="J37" s="440"/>
      <c r="K37" s="440"/>
      <c r="L37" s="440"/>
      <c r="M37" s="441"/>
    </row>
  </sheetData>
  <sheetProtection algorithmName="SHA-512" hashValue="XcH1rkgJKLf2KfqN8vbVu4lsUX5z7X1TGbpmxOluyffqSamKzRbSMGXDhSOkCs+3UvWfLKe5mG4+LAQ7qcgCDw==" saltValue="j3YWHZv2lncHSB2s9+ZCDQ==" spinCount="100000" sheet="1" objects="1" scenarios="1" insertColumns="0"/>
  <mergeCells count="2">
    <mergeCell ref="B21:M37"/>
    <mergeCell ref="C2:D2"/>
  </mergeCells>
  <pageMargins left="0.25" right="0.25" top="0.75" bottom="0.75" header="0.3" footer="0.3"/>
  <pageSetup paperSize="9" scale="70" orientation="landscape" r:id="rId1"/>
  <colBreaks count="1" manualBreakCount="1">
    <brk id="13" max="1048575" man="1"/>
  </colBreaks>
  <ignoredErrors>
    <ignoredError sqref="C17 M17" evalError="1"/>
    <ignoredError sqref="M16" unlockedFormula="1"/>
  </ignoredErrors>
  <drawing r:id="rId2"/>
  <legacyDrawing r:id="rId3"/>
  <extLst>
    <ext xmlns:x14="http://schemas.microsoft.com/office/spreadsheetml/2009/9/main" uri="{CCE6A557-97BC-4b89-ADB6-D9C93CAAB3DF}">
      <x14:dataValidations xmlns:xm="http://schemas.microsoft.com/office/excel/2006/main" count="1">
        <x14:dataValidation type="date" errorStyle="warning" allowBlank="1" showInputMessage="1" showErrorMessage="1" errorTitle="Einddatum te laat " error="De door u ingevulde einddatum van de mijlpaal ligt na de ingevulde einddatum van de investeringsbegroting! " xr:uid="{E0206638-5D1A-477B-B4C3-99511A9263EF}">
          <x14:formula1>
            <xm:f>'Proj.gegevens_invest.begroting'!$D$39</xm:f>
          </x14:formula1>
          <x14:formula2>
            <xm:f>'Proj.gegevens_invest.begroting'!$D$40</xm:f>
          </x14:formula2>
          <xm:sqref>C19:L19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F04D3-B234-46C3-A498-46CC0E2CA5A8}">
  <dimension ref="A1:E33"/>
  <sheetViews>
    <sheetView zoomScaleNormal="100" workbookViewId="0">
      <selection activeCell="A3" sqref="A3"/>
    </sheetView>
  </sheetViews>
  <sheetFormatPr defaultRowHeight="15" x14ac:dyDescent="0.25"/>
  <cols>
    <col min="1" max="1" width="123.85546875" style="2" customWidth="1"/>
    <col min="2" max="256" width="9.140625" style="2"/>
    <col min="257" max="257" width="123.85546875" style="2" customWidth="1"/>
    <col min="258" max="512" width="9.140625" style="2"/>
    <col min="513" max="513" width="123.85546875" style="2" customWidth="1"/>
    <col min="514" max="768" width="9.140625" style="2"/>
    <col min="769" max="769" width="123.85546875" style="2" customWidth="1"/>
    <col min="770" max="1024" width="9.140625" style="2"/>
    <col min="1025" max="1025" width="123.85546875" style="2" customWidth="1"/>
    <col min="1026" max="1280" width="9.140625" style="2"/>
    <col min="1281" max="1281" width="123.85546875" style="2" customWidth="1"/>
    <col min="1282" max="1536" width="9.140625" style="2"/>
    <col min="1537" max="1537" width="123.85546875" style="2" customWidth="1"/>
    <col min="1538" max="1792" width="9.140625" style="2"/>
    <col min="1793" max="1793" width="123.85546875" style="2" customWidth="1"/>
    <col min="1794" max="2048" width="9.140625" style="2"/>
    <col min="2049" max="2049" width="123.85546875" style="2" customWidth="1"/>
    <col min="2050" max="2304" width="9.140625" style="2"/>
    <col min="2305" max="2305" width="123.85546875" style="2" customWidth="1"/>
    <col min="2306" max="2560" width="9.140625" style="2"/>
    <col min="2561" max="2561" width="123.85546875" style="2" customWidth="1"/>
    <col min="2562" max="2816" width="9.140625" style="2"/>
    <col min="2817" max="2817" width="123.85546875" style="2" customWidth="1"/>
    <col min="2818" max="3072" width="9.140625" style="2"/>
    <col min="3073" max="3073" width="123.85546875" style="2" customWidth="1"/>
    <col min="3074" max="3328" width="9.140625" style="2"/>
    <col min="3329" max="3329" width="123.85546875" style="2" customWidth="1"/>
    <col min="3330" max="3584" width="9.140625" style="2"/>
    <col min="3585" max="3585" width="123.85546875" style="2" customWidth="1"/>
    <col min="3586" max="3840" width="9.140625" style="2"/>
    <col min="3841" max="3841" width="123.85546875" style="2" customWidth="1"/>
    <col min="3842" max="4096" width="9.140625" style="2"/>
    <col min="4097" max="4097" width="123.85546875" style="2" customWidth="1"/>
    <col min="4098" max="4352" width="9.140625" style="2"/>
    <col min="4353" max="4353" width="123.85546875" style="2" customWidth="1"/>
    <col min="4354" max="4608" width="9.140625" style="2"/>
    <col min="4609" max="4609" width="123.85546875" style="2" customWidth="1"/>
    <col min="4610" max="4864" width="9.140625" style="2"/>
    <col min="4865" max="4865" width="123.85546875" style="2" customWidth="1"/>
    <col min="4866" max="5120" width="9.140625" style="2"/>
    <col min="5121" max="5121" width="123.85546875" style="2" customWidth="1"/>
    <col min="5122" max="5376" width="9.140625" style="2"/>
    <col min="5377" max="5377" width="123.85546875" style="2" customWidth="1"/>
    <col min="5378" max="5632" width="9.140625" style="2"/>
    <col min="5633" max="5633" width="123.85546875" style="2" customWidth="1"/>
    <col min="5634" max="5888" width="9.140625" style="2"/>
    <col min="5889" max="5889" width="123.85546875" style="2" customWidth="1"/>
    <col min="5890" max="6144" width="9.140625" style="2"/>
    <col min="6145" max="6145" width="123.85546875" style="2" customWidth="1"/>
    <col min="6146" max="6400" width="9.140625" style="2"/>
    <col min="6401" max="6401" width="123.85546875" style="2" customWidth="1"/>
    <col min="6402" max="6656" width="9.140625" style="2"/>
    <col min="6657" max="6657" width="123.85546875" style="2" customWidth="1"/>
    <col min="6658" max="6912" width="9.140625" style="2"/>
    <col min="6913" max="6913" width="123.85546875" style="2" customWidth="1"/>
    <col min="6914" max="7168" width="9.140625" style="2"/>
    <col min="7169" max="7169" width="123.85546875" style="2" customWidth="1"/>
    <col min="7170" max="7424" width="9.140625" style="2"/>
    <col min="7425" max="7425" width="123.85546875" style="2" customWidth="1"/>
    <col min="7426" max="7680" width="9.140625" style="2"/>
    <col min="7681" max="7681" width="123.85546875" style="2" customWidth="1"/>
    <col min="7682" max="7936" width="9.140625" style="2"/>
    <col min="7937" max="7937" width="123.85546875" style="2" customWidth="1"/>
    <col min="7938" max="8192" width="9.140625" style="2"/>
    <col min="8193" max="8193" width="123.85546875" style="2" customWidth="1"/>
    <col min="8194" max="8448" width="9.140625" style="2"/>
    <col min="8449" max="8449" width="123.85546875" style="2" customWidth="1"/>
    <col min="8450" max="8704" width="9.140625" style="2"/>
    <col min="8705" max="8705" width="123.85546875" style="2" customWidth="1"/>
    <col min="8706" max="8960" width="9.140625" style="2"/>
    <col min="8961" max="8961" width="123.85546875" style="2" customWidth="1"/>
    <col min="8962" max="9216" width="9.140625" style="2"/>
    <col min="9217" max="9217" width="123.85546875" style="2" customWidth="1"/>
    <col min="9218" max="9472" width="9.140625" style="2"/>
    <col min="9473" max="9473" width="123.85546875" style="2" customWidth="1"/>
    <col min="9474" max="9728" width="9.140625" style="2"/>
    <col min="9729" max="9729" width="123.85546875" style="2" customWidth="1"/>
    <col min="9730" max="9984" width="9.140625" style="2"/>
    <col min="9985" max="9985" width="123.85546875" style="2" customWidth="1"/>
    <col min="9986" max="10240" width="9.140625" style="2"/>
    <col min="10241" max="10241" width="123.85546875" style="2" customWidth="1"/>
    <col min="10242" max="10496" width="9.140625" style="2"/>
    <col min="10497" max="10497" width="123.85546875" style="2" customWidth="1"/>
    <col min="10498" max="10752" width="9.140625" style="2"/>
    <col min="10753" max="10753" width="123.85546875" style="2" customWidth="1"/>
    <col min="10754" max="11008" width="9.140625" style="2"/>
    <col min="11009" max="11009" width="123.85546875" style="2" customWidth="1"/>
    <col min="11010" max="11264" width="9.140625" style="2"/>
    <col min="11265" max="11265" width="123.85546875" style="2" customWidth="1"/>
    <col min="11266" max="11520" width="9.140625" style="2"/>
    <col min="11521" max="11521" width="123.85546875" style="2" customWidth="1"/>
    <col min="11522" max="11776" width="9.140625" style="2"/>
    <col min="11777" max="11777" width="123.85546875" style="2" customWidth="1"/>
    <col min="11778" max="12032" width="9.140625" style="2"/>
    <col min="12033" max="12033" width="123.85546875" style="2" customWidth="1"/>
    <col min="12034" max="12288" width="9.140625" style="2"/>
    <col min="12289" max="12289" width="123.85546875" style="2" customWidth="1"/>
    <col min="12290" max="12544" width="9.140625" style="2"/>
    <col min="12545" max="12545" width="123.85546875" style="2" customWidth="1"/>
    <col min="12546" max="12800" width="9.140625" style="2"/>
    <col min="12801" max="12801" width="123.85546875" style="2" customWidth="1"/>
    <col min="12802" max="13056" width="9.140625" style="2"/>
    <col min="13057" max="13057" width="123.85546875" style="2" customWidth="1"/>
    <col min="13058" max="13312" width="9.140625" style="2"/>
    <col min="13313" max="13313" width="123.85546875" style="2" customWidth="1"/>
    <col min="13314" max="13568" width="9.140625" style="2"/>
    <col min="13569" max="13569" width="123.85546875" style="2" customWidth="1"/>
    <col min="13570" max="13824" width="9.140625" style="2"/>
    <col min="13825" max="13825" width="123.85546875" style="2" customWidth="1"/>
    <col min="13826" max="14080" width="9.140625" style="2"/>
    <col min="14081" max="14081" width="123.85546875" style="2" customWidth="1"/>
    <col min="14082" max="14336" width="9.140625" style="2"/>
    <col min="14337" max="14337" width="123.85546875" style="2" customWidth="1"/>
    <col min="14338" max="14592" width="9.140625" style="2"/>
    <col min="14593" max="14593" width="123.85546875" style="2" customWidth="1"/>
    <col min="14594" max="14848" width="9.140625" style="2"/>
    <col min="14849" max="14849" width="123.85546875" style="2" customWidth="1"/>
    <col min="14850" max="15104" width="9.140625" style="2"/>
    <col min="15105" max="15105" width="123.85546875" style="2" customWidth="1"/>
    <col min="15106" max="15360" width="9.140625" style="2"/>
    <col min="15361" max="15361" width="123.85546875" style="2" customWidth="1"/>
    <col min="15362" max="15616" width="9.140625" style="2"/>
    <col min="15617" max="15617" width="123.85546875" style="2" customWidth="1"/>
    <col min="15618" max="15872" width="9.140625" style="2"/>
    <col min="15873" max="15873" width="123.85546875" style="2" customWidth="1"/>
    <col min="15874" max="16128" width="9.140625" style="2"/>
    <col min="16129" max="16129" width="123.85546875" style="2" customWidth="1"/>
    <col min="16130" max="16384" width="9.140625" style="2"/>
  </cols>
  <sheetData>
    <row r="1" spans="1:2" ht="135" customHeight="1" x14ac:dyDescent="0.25"/>
    <row r="2" spans="1:2" ht="35.25" x14ac:dyDescent="0.25">
      <c r="A2" s="11" t="s">
        <v>139</v>
      </c>
    </row>
    <row r="3" spans="1:2" ht="36" customHeight="1" x14ac:dyDescent="0.25">
      <c r="A3" s="12" t="s">
        <v>394</v>
      </c>
    </row>
    <row r="4" spans="1:2" ht="21.95" customHeight="1" x14ac:dyDescent="0.25">
      <c r="A4" s="13" t="s">
        <v>0</v>
      </c>
    </row>
    <row r="5" spans="1:2" ht="37.5" customHeight="1" x14ac:dyDescent="0.25">
      <c r="A5" s="3" t="s">
        <v>268</v>
      </c>
    </row>
    <row r="6" spans="1:2" ht="14.25" customHeight="1" x14ac:dyDescent="0.25">
      <c r="A6" s="14" t="s">
        <v>269</v>
      </c>
      <c r="B6" s="15"/>
    </row>
    <row r="7" spans="1:2" ht="25.5" x14ac:dyDescent="0.25">
      <c r="A7" s="3" t="s">
        <v>383</v>
      </c>
    </row>
    <row r="8" spans="1:2" ht="33.75" customHeight="1" x14ac:dyDescent="0.25">
      <c r="A8" s="13" t="s">
        <v>1</v>
      </c>
    </row>
    <row r="9" spans="1:2" ht="45" customHeight="1" x14ac:dyDescent="0.25">
      <c r="A9" s="3" t="s">
        <v>2</v>
      </c>
    </row>
    <row r="10" spans="1:2" ht="27" customHeight="1" x14ac:dyDescent="0.25">
      <c r="A10" s="13" t="s">
        <v>3</v>
      </c>
    </row>
    <row r="11" spans="1:2" x14ac:dyDescent="0.25">
      <c r="A11" s="16" t="s">
        <v>4</v>
      </c>
    </row>
    <row r="12" spans="1:2" ht="25.5" x14ac:dyDescent="0.25">
      <c r="A12" s="3" t="s">
        <v>270</v>
      </c>
    </row>
    <row r="13" spans="1:2" s="4" customFormat="1" x14ac:dyDescent="0.25">
      <c r="A13" s="7"/>
    </row>
    <row r="14" spans="1:2" x14ac:dyDescent="0.25">
      <c r="A14" s="16" t="s">
        <v>5</v>
      </c>
    </row>
    <row r="15" spans="1:2" ht="38.25" x14ac:dyDescent="0.25">
      <c r="A15" s="3" t="s">
        <v>384</v>
      </c>
    </row>
    <row r="16" spans="1:2" x14ac:dyDescent="0.25">
      <c r="A16" s="3"/>
    </row>
    <row r="17" spans="1:5" x14ac:dyDescent="0.25">
      <c r="A17" s="16" t="s">
        <v>6</v>
      </c>
    </row>
    <row r="18" spans="1:5" ht="38.25" x14ac:dyDescent="0.25">
      <c r="A18" s="3" t="s">
        <v>271</v>
      </c>
    </row>
    <row r="19" spans="1:5" x14ac:dyDescent="0.25">
      <c r="A19" s="16"/>
    </row>
    <row r="20" spans="1:5" x14ac:dyDescent="0.25">
      <c r="A20" s="17" t="s">
        <v>7</v>
      </c>
      <c r="B20" s="3"/>
      <c r="C20" s="3"/>
      <c r="D20" s="3"/>
      <c r="E20" s="3"/>
    </row>
    <row r="21" spans="1:5" ht="25.5" x14ac:dyDescent="0.25">
      <c r="A21" s="3" t="s">
        <v>272</v>
      </c>
      <c r="B21" s="3"/>
      <c r="C21" s="3"/>
      <c r="D21" s="3"/>
      <c r="E21" s="3"/>
    </row>
    <row r="22" spans="1:5" x14ac:dyDescent="0.25">
      <c r="A22" s="3" t="s">
        <v>8</v>
      </c>
      <c r="B22" s="3"/>
      <c r="C22" s="3"/>
      <c r="D22" s="3"/>
      <c r="E22" s="3"/>
    </row>
    <row r="23" spans="1:5" x14ac:dyDescent="0.25">
      <c r="A23" s="3" t="s">
        <v>9</v>
      </c>
      <c r="B23" s="3"/>
      <c r="C23" s="3"/>
      <c r="D23" s="3"/>
      <c r="E23" s="3"/>
    </row>
    <row r="24" spans="1:5" ht="11.25" customHeight="1" x14ac:dyDescent="0.25"/>
    <row r="25" spans="1:5" ht="21.95" customHeight="1" x14ac:dyDescent="0.25">
      <c r="A25" s="1" t="s">
        <v>10</v>
      </c>
    </row>
    <row r="26" spans="1:5" ht="25.5" x14ac:dyDescent="0.25">
      <c r="A26" s="3" t="s">
        <v>11</v>
      </c>
    </row>
    <row r="27" spans="1:5" ht="34.5" customHeight="1" x14ac:dyDescent="0.25">
      <c r="A27" s="3" t="s">
        <v>385</v>
      </c>
    </row>
    <row r="28" spans="1:5" ht="21.95" customHeight="1" x14ac:dyDescent="0.25">
      <c r="A28" s="13" t="s">
        <v>12</v>
      </c>
    </row>
    <row r="29" spans="1:5" ht="25.5" x14ac:dyDescent="0.25">
      <c r="A29" s="3" t="s">
        <v>13</v>
      </c>
    </row>
    <row r="33" spans="1:1" x14ac:dyDescent="0.25">
      <c r="A33" s="18"/>
    </row>
  </sheetData>
  <sheetProtection algorithmName="SHA-512" hashValue="AHFAXX4QKfR9PbVHpBRcnu6+IOwqNs01ddrWlsY7FGTJdHO5XJbc/rDTiv3sNJK07TkT+fNU8YhgiSDCv02QXQ==" saltValue="BpcpCFTKMiJVqiRbkfd+IQ==" spinCount="100000" sheet="1" objects="1" scenarios="1"/>
  <hyperlinks>
    <hyperlink ref="A6" r:id="rId1" display="Handleiding haalbaarheidsstudie SDE++ " xr:uid="{EB37CBA0-F96C-489F-AB87-860672FDF224}"/>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437A-E80A-413F-AD3A-A8C2B333BB16}">
  <dimension ref="A1:W96"/>
  <sheetViews>
    <sheetView workbookViewId="0">
      <selection activeCell="H36" sqref="H36"/>
    </sheetView>
  </sheetViews>
  <sheetFormatPr defaultColWidth="8.7109375" defaultRowHeight="15" x14ac:dyDescent="0.25"/>
  <cols>
    <col min="1" max="1" width="41.42578125" style="4" customWidth="1"/>
    <col min="2" max="3" width="8.7109375" style="4"/>
    <col min="4" max="4" width="23.140625" style="4" customWidth="1"/>
    <col min="5" max="5" width="40.42578125" style="4" customWidth="1"/>
    <col min="6" max="6" width="10.5703125" style="4" customWidth="1"/>
    <col min="7" max="7" width="13.85546875" style="4" customWidth="1"/>
    <col min="8" max="8" width="125" style="4" customWidth="1"/>
    <col min="9" max="22" width="11.7109375" style="4" customWidth="1"/>
    <col min="23" max="23" width="10.140625" style="4" bestFit="1" customWidth="1"/>
    <col min="24" max="256" width="8.7109375" style="4"/>
    <col min="257" max="257" width="38" style="4" customWidth="1"/>
    <col min="258" max="259" width="8.7109375" style="4"/>
    <col min="260" max="260" width="23.140625" style="4" customWidth="1"/>
    <col min="261" max="261" width="40.42578125" style="4" customWidth="1"/>
    <col min="262" max="262" width="10.5703125" style="4" customWidth="1"/>
    <col min="263" max="263" width="14" style="4" customWidth="1"/>
    <col min="264" max="264" width="125" style="4" customWidth="1"/>
    <col min="265" max="278" width="11.7109375" style="4" customWidth="1"/>
    <col min="279" max="279" width="10.140625" style="4" bestFit="1" customWidth="1"/>
    <col min="280" max="512" width="8.7109375" style="4"/>
    <col min="513" max="513" width="38" style="4" customWidth="1"/>
    <col min="514" max="515" width="8.7109375" style="4"/>
    <col min="516" max="516" width="23.140625" style="4" customWidth="1"/>
    <col min="517" max="517" width="40.42578125" style="4" customWidth="1"/>
    <col min="518" max="518" width="10.5703125" style="4" customWidth="1"/>
    <col min="519" max="519" width="14" style="4" customWidth="1"/>
    <col min="520" max="520" width="125" style="4" customWidth="1"/>
    <col min="521" max="534" width="11.7109375" style="4" customWidth="1"/>
    <col min="535" max="535" width="10.140625" style="4" bestFit="1" customWidth="1"/>
    <col min="536" max="768" width="8.7109375" style="4"/>
    <col min="769" max="769" width="38" style="4" customWidth="1"/>
    <col min="770" max="771" width="8.7109375" style="4"/>
    <col min="772" max="772" width="23.140625" style="4" customWidth="1"/>
    <col min="773" max="773" width="40.42578125" style="4" customWidth="1"/>
    <col min="774" max="774" width="10.5703125" style="4" customWidth="1"/>
    <col min="775" max="775" width="14" style="4" customWidth="1"/>
    <col min="776" max="776" width="125" style="4" customWidth="1"/>
    <col min="777" max="790" width="11.7109375" style="4" customWidth="1"/>
    <col min="791" max="791" width="10.140625" style="4" bestFit="1" customWidth="1"/>
    <col min="792" max="1024" width="8.7109375" style="4"/>
    <col min="1025" max="1025" width="38" style="4" customWidth="1"/>
    <col min="1026" max="1027" width="8.7109375" style="4"/>
    <col min="1028" max="1028" width="23.140625" style="4" customWidth="1"/>
    <col min="1029" max="1029" width="40.42578125" style="4" customWidth="1"/>
    <col min="1030" max="1030" width="10.5703125" style="4" customWidth="1"/>
    <col min="1031" max="1031" width="14" style="4" customWidth="1"/>
    <col min="1032" max="1032" width="125" style="4" customWidth="1"/>
    <col min="1033" max="1046" width="11.7109375" style="4" customWidth="1"/>
    <col min="1047" max="1047" width="10.140625" style="4" bestFit="1" customWidth="1"/>
    <col min="1048" max="1280" width="8.7109375" style="4"/>
    <col min="1281" max="1281" width="38" style="4" customWidth="1"/>
    <col min="1282" max="1283" width="8.7109375" style="4"/>
    <col min="1284" max="1284" width="23.140625" style="4" customWidth="1"/>
    <col min="1285" max="1285" width="40.42578125" style="4" customWidth="1"/>
    <col min="1286" max="1286" width="10.5703125" style="4" customWidth="1"/>
    <col min="1287" max="1287" width="14" style="4" customWidth="1"/>
    <col min="1288" max="1288" width="125" style="4" customWidth="1"/>
    <col min="1289" max="1302" width="11.7109375" style="4" customWidth="1"/>
    <col min="1303" max="1303" width="10.140625" style="4" bestFit="1" customWidth="1"/>
    <col min="1304" max="1536" width="8.7109375" style="4"/>
    <col min="1537" max="1537" width="38" style="4" customWidth="1"/>
    <col min="1538" max="1539" width="8.7109375" style="4"/>
    <col min="1540" max="1540" width="23.140625" style="4" customWidth="1"/>
    <col min="1541" max="1541" width="40.42578125" style="4" customWidth="1"/>
    <col min="1542" max="1542" width="10.5703125" style="4" customWidth="1"/>
    <col min="1543" max="1543" width="14" style="4" customWidth="1"/>
    <col min="1544" max="1544" width="125" style="4" customWidth="1"/>
    <col min="1545" max="1558" width="11.7109375" style="4" customWidth="1"/>
    <col min="1559" max="1559" width="10.140625" style="4" bestFit="1" customWidth="1"/>
    <col min="1560" max="1792" width="8.7109375" style="4"/>
    <col min="1793" max="1793" width="38" style="4" customWidth="1"/>
    <col min="1794" max="1795" width="8.7109375" style="4"/>
    <col min="1796" max="1796" width="23.140625" style="4" customWidth="1"/>
    <col min="1797" max="1797" width="40.42578125" style="4" customWidth="1"/>
    <col min="1798" max="1798" width="10.5703125" style="4" customWidth="1"/>
    <col min="1799" max="1799" width="14" style="4" customWidth="1"/>
    <col min="1800" max="1800" width="125" style="4" customWidth="1"/>
    <col min="1801" max="1814" width="11.7109375" style="4" customWidth="1"/>
    <col min="1815" max="1815" width="10.140625" style="4" bestFit="1" customWidth="1"/>
    <col min="1816" max="2048" width="8.7109375" style="4"/>
    <col min="2049" max="2049" width="38" style="4" customWidth="1"/>
    <col min="2050" max="2051" width="8.7109375" style="4"/>
    <col min="2052" max="2052" width="23.140625" style="4" customWidth="1"/>
    <col min="2053" max="2053" width="40.42578125" style="4" customWidth="1"/>
    <col min="2054" max="2054" width="10.5703125" style="4" customWidth="1"/>
    <col min="2055" max="2055" width="14" style="4" customWidth="1"/>
    <col min="2056" max="2056" width="125" style="4" customWidth="1"/>
    <col min="2057" max="2070" width="11.7109375" style="4" customWidth="1"/>
    <col min="2071" max="2071" width="10.140625" style="4" bestFit="1" customWidth="1"/>
    <col min="2072" max="2304" width="8.7109375" style="4"/>
    <col min="2305" max="2305" width="38" style="4" customWidth="1"/>
    <col min="2306" max="2307" width="8.7109375" style="4"/>
    <col min="2308" max="2308" width="23.140625" style="4" customWidth="1"/>
    <col min="2309" max="2309" width="40.42578125" style="4" customWidth="1"/>
    <col min="2310" max="2310" width="10.5703125" style="4" customWidth="1"/>
    <col min="2311" max="2311" width="14" style="4" customWidth="1"/>
    <col min="2312" max="2312" width="125" style="4" customWidth="1"/>
    <col min="2313" max="2326" width="11.7109375" style="4" customWidth="1"/>
    <col min="2327" max="2327" width="10.140625" style="4" bestFit="1" customWidth="1"/>
    <col min="2328" max="2560" width="8.7109375" style="4"/>
    <col min="2561" max="2561" width="38" style="4" customWidth="1"/>
    <col min="2562" max="2563" width="8.7109375" style="4"/>
    <col min="2564" max="2564" width="23.140625" style="4" customWidth="1"/>
    <col min="2565" max="2565" width="40.42578125" style="4" customWidth="1"/>
    <col min="2566" max="2566" width="10.5703125" style="4" customWidth="1"/>
    <col min="2567" max="2567" width="14" style="4" customWidth="1"/>
    <col min="2568" max="2568" width="125" style="4" customWidth="1"/>
    <col min="2569" max="2582" width="11.7109375" style="4" customWidth="1"/>
    <col min="2583" max="2583" width="10.140625" style="4" bestFit="1" customWidth="1"/>
    <col min="2584" max="2816" width="8.7109375" style="4"/>
    <col min="2817" max="2817" width="38" style="4" customWidth="1"/>
    <col min="2818" max="2819" width="8.7109375" style="4"/>
    <col min="2820" max="2820" width="23.140625" style="4" customWidth="1"/>
    <col min="2821" max="2821" width="40.42578125" style="4" customWidth="1"/>
    <col min="2822" max="2822" width="10.5703125" style="4" customWidth="1"/>
    <col min="2823" max="2823" width="14" style="4" customWidth="1"/>
    <col min="2824" max="2824" width="125" style="4" customWidth="1"/>
    <col min="2825" max="2838" width="11.7109375" style="4" customWidth="1"/>
    <col min="2839" max="2839" width="10.140625" style="4" bestFit="1" customWidth="1"/>
    <col min="2840" max="3072" width="8.7109375" style="4"/>
    <col min="3073" max="3073" width="38" style="4" customWidth="1"/>
    <col min="3074" max="3075" width="8.7109375" style="4"/>
    <col min="3076" max="3076" width="23.140625" style="4" customWidth="1"/>
    <col min="3077" max="3077" width="40.42578125" style="4" customWidth="1"/>
    <col min="3078" max="3078" width="10.5703125" style="4" customWidth="1"/>
    <col min="3079" max="3079" width="14" style="4" customWidth="1"/>
    <col min="3080" max="3080" width="125" style="4" customWidth="1"/>
    <col min="3081" max="3094" width="11.7109375" style="4" customWidth="1"/>
    <col min="3095" max="3095" width="10.140625" style="4" bestFit="1" customWidth="1"/>
    <col min="3096" max="3328" width="8.7109375" style="4"/>
    <col min="3329" max="3329" width="38" style="4" customWidth="1"/>
    <col min="3330" max="3331" width="8.7109375" style="4"/>
    <col min="3332" max="3332" width="23.140625" style="4" customWidth="1"/>
    <col min="3333" max="3333" width="40.42578125" style="4" customWidth="1"/>
    <col min="3334" max="3334" width="10.5703125" style="4" customWidth="1"/>
    <col min="3335" max="3335" width="14" style="4" customWidth="1"/>
    <col min="3336" max="3336" width="125" style="4" customWidth="1"/>
    <col min="3337" max="3350" width="11.7109375" style="4" customWidth="1"/>
    <col min="3351" max="3351" width="10.140625" style="4" bestFit="1" customWidth="1"/>
    <col min="3352" max="3584" width="8.7109375" style="4"/>
    <col min="3585" max="3585" width="38" style="4" customWidth="1"/>
    <col min="3586" max="3587" width="8.7109375" style="4"/>
    <col min="3588" max="3588" width="23.140625" style="4" customWidth="1"/>
    <col min="3589" max="3589" width="40.42578125" style="4" customWidth="1"/>
    <col min="3590" max="3590" width="10.5703125" style="4" customWidth="1"/>
    <col min="3591" max="3591" width="14" style="4" customWidth="1"/>
    <col min="3592" max="3592" width="125" style="4" customWidth="1"/>
    <col min="3593" max="3606" width="11.7109375" style="4" customWidth="1"/>
    <col min="3607" max="3607" width="10.140625" style="4" bestFit="1" customWidth="1"/>
    <col min="3608" max="3840" width="8.7109375" style="4"/>
    <col min="3841" max="3841" width="38" style="4" customWidth="1"/>
    <col min="3842" max="3843" width="8.7109375" style="4"/>
    <col min="3844" max="3844" width="23.140625" style="4" customWidth="1"/>
    <col min="3845" max="3845" width="40.42578125" style="4" customWidth="1"/>
    <col min="3846" max="3846" width="10.5703125" style="4" customWidth="1"/>
    <col min="3847" max="3847" width="14" style="4" customWidth="1"/>
    <col min="3848" max="3848" width="125" style="4" customWidth="1"/>
    <col min="3849" max="3862" width="11.7109375" style="4" customWidth="1"/>
    <col min="3863" max="3863" width="10.140625" style="4" bestFit="1" customWidth="1"/>
    <col min="3864" max="4096" width="8.7109375" style="4"/>
    <col min="4097" max="4097" width="38" style="4" customWidth="1"/>
    <col min="4098" max="4099" width="8.7109375" style="4"/>
    <col min="4100" max="4100" width="23.140625" style="4" customWidth="1"/>
    <col min="4101" max="4101" width="40.42578125" style="4" customWidth="1"/>
    <col min="4102" max="4102" width="10.5703125" style="4" customWidth="1"/>
    <col min="4103" max="4103" width="14" style="4" customWidth="1"/>
    <col min="4104" max="4104" width="125" style="4" customWidth="1"/>
    <col min="4105" max="4118" width="11.7109375" style="4" customWidth="1"/>
    <col min="4119" max="4119" width="10.140625" style="4" bestFit="1" customWidth="1"/>
    <col min="4120" max="4352" width="8.7109375" style="4"/>
    <col min="4353" max="4353" width="38" style="4" customWidth="1"/>
    <col min="4354" max="4355" width="8.7109375" style="4"/>
    <col min="4356" max="4356" width="23.140625" style="4" customWidth="1"/>
    <col min="4357" max="4357" width="40.42578125" style="4" customWidth="1"/>
    <col min="4358" max="4358" width="10.5703125" style="4" customWidth="1"/>
    <col min="4359" max="4359" width="14" style="4" customWidth="1"/>
    <col min="4360" max="4360" width="125" style="4" customWidth="1"/>
    <col min="4361" max="4374" width="11.7109375" style="4" customWidth="1"/>
    <col min="4375" max="4375" width="10.140625" style="4" bestFit="1" customWidth="1"/>
    <col min="4376" max="4608" width="8.7109375" style="4"/>
    <col min="4609" max="4609" width="38" style="4" customWidth="1"/>
    <col min="4610" max="4611" width="8.7109375" style="4"/>
    <col min="4612" max="4612" width="23.140625" style="4" customWidth="1"/>
    <col min="4613" max="4613" width="40.42578125" style="4" customWidth="1"/>
    <col min="4614" max="4614" width="10.5703125" style="4" customWidth="1"/>
    <col min="4615" max="4615" width="14" style="4" customWidth="1"/>
    <col min="4616" max="4616" width="125" style="4" customWidth="1"/>
    <col min="4617" max="4630" width="11.7109375" style="4" customWidth="1"/>
    <col min="4631" max="4631" width="10.140625" style="4" bestFit="1" customWidth="1"/>
    <col min="4632" max="4864" width="8.7109375" style="4"/>
    <col min="4865" max="4865" width="38" style="4" customWidth="1"/>
    <col min="4866" max="4867" width="8.7109375" style="4"/>
    <col min="4868" max="4868" width="23.140625" style="4" customWidth="1"/>
    <col min="4869" max="4869" width="40.42578125" style="4" customWidth="1"/>
    <col min="4870" max="4870" width="10.5703125" style="4" customWidth="1"/>
    <col min="4871" max="4871" width="14" style="4" customWidth="1"/>
    <col min="4872" max="4872" width="125" style="4" customWidth="1"/>
    <col min="4873" max="4886" width="11.7109375" style="4" customWidth="1"/>
    <col min="4887" max="4887" width="10.140625" style="4" bestFit="1" customWidth="1"/>
    <col min="4888" max="5120" width="8.7109375" style="4"/>
    <col min="5121" max="5121" width="38" style="4" customWidth="1"/>
    <col min="5122" max="5123" width="8.7109375" style="4"/>
    <col min="5124" max="5124" width="23.140625" style="4" customWidth="1"/>
    <col min="5125" max="5125" width="40.42578125" style="4" customWidth="1"/>
    <col min="5126" max="5126" width="10.5703125" style="4" customWidth="1"/>
    <col min="5127" max="5127" width="14" style="4" customWidth="1"/>
    <col min="5128" max="5128" width="125" style="4" customWidth="1"/>
    <col min="5129" max="5142" width="11.7109375" style="4" customWidth="1"/>
    <col min="5143" max="5143" width="10.140625" style="4" bestFit="1" customWidth="1"/>
    <col min="5144" max="5376" width="8.7109375" style="4"/>
    <col min="5377" max="5377" width="38" style="4" customWidth="1"/>
    <col min="5378" max="5379" width="8.7109375" style="4"/>
    <col min="5380" max="5380" width="23.140625" style="4" customWidth="1"/>
    <col min="5381" max="5381" width="40.42578125" style="4" customWidth="1"/>
    <col min="5382" max="5382" width="10.5703125" style="4" customWidth="1"/>
    <col min="5383" max="5383" width="14" style="4" customWidth="1"/>
    <col min="5384" max="5384" width="125" style="4" customWidth="1"/>
    <col min="5385" max="5398" width="11.7109375" style="4" customWidth="1"/>
    <col min="5399" max="5399" width="10.140625" style="4" bestFit="1" customWidth="1"/>
    <col min="5400" max="5632" width="8.7109375" style="4"/>
    <col min="5633" max="5633" width="38" style="4" customWidth="1"/>
    <col min="5634" max="5635" width="8.7109375" style="4"/>
    <col min="5636" max="5636" width="23.140625" style="4" customWidth="1"/>
    <col min="5637" max="5637" width="40.42578125" style="4" customWidth="1"/>
    <col min="5638" max="5638" width="10.5703125" style="4" customWidth="1"/>
    <col min="5639" max="5639" width="14" style="4" customWidth="1"/>
    <col min="5640" max="5640" width="125" style="4" customWidth="1"/>
    <col min="5641" max="5654" width="11.7109375" style="4" customWidth="1"/>
    <col min="5655" max="5655" width="10.140625" style="4" bestFit="1" customWidth="1"/>
    <col min="5656" max="5888" width="8.7109375" style="4"/>
    <col min="5889" max="5889" width="38" style="4" customWidth="1"/>
    <col min="5890" max="5891" width="8.7109375" style="4"/>
    <col min="5892" max="5892" width="23.140625" style="4" customWidth="1"/>
    <col min="5893" max="5893" width="40.42578125" style="4" customWidth="1"/>
    <col min="5894" max="5894" width="10.5703125" style="4" customWidth="1"/>
    <col min="5895" max="5895" width="14" style="4" customWidth="1"/>
    <col min="5896" max="5896" width="125" style="4" customWidth="1"/>
    <col min="5897" max="5910" width="11.7109375" style="4" customWidth="1"/>
    <col min="5911" max="5911" width="10.140625" style="4" bestFit="1" customWidth="1"/>
    <col min="5912" max="6144" width="8.7109375" style="4"/>
    <col min="6145" max="6145" width="38" style="4" customWidth="1"/>
    <col min="6146" max="6147" width="8.7109375" style="4"/>
    <col min="6148" max="6148" width="23.140625" style="4" customWidth="1"/>
    <col min="6149" max="6149" width="40.42578125" style="4" customWidth="1"/>
    <col min="6150" max="6150" width="10.5703125" style="4" customWidth="1"/>
    <col min="6151" max="6151" width="14" style="4" customWidth="1"/>
    <col min="6152" max="6152" width="125" style="4" customWidth="1"/>
    <col min="6153" max="6166" width="11.7109375" style="4" customWidth="1"/>
    <col min="6167" max="6167" width="10.140625" style="4" bestFit="1" customWidth="1"/>
    <col min="6168" max="6400" width="8.7109375" style="4"/>
    <col min="6401" max="6401" width="38" style="4" customWidth="1"/>
    <col min="6402" max="6403" width="8.7109375" style="4"/>
    <col min="6404" max="6404" width="23.140625" style="4" customWidth="1"/>
    <col min="6405" max="6405" width="40.42578125" style="4" customWidth="1"/>
    <col min="6406" max="6406" width="10.5703125" style="4" customWidth="1"/>
    <col min="6407" max="6407" width="14" style="4" customWidth="1"/>
    <col min="6408" max="6408" width="125" style="4" customWidth="1"/>
    <col min="6409" max="6422" width="11.7109375" style="4" customWidth="1"/>
    <col min="6423" max="6423" width="10.140625" style="4" bestFit="1" customWidth="1"/>
    <col min="6424" max="6656" width="8.7109375" style="4"/>
    <col min="6657" max="6657" width="38" style="4" customWidth="1"/>
    <col min="6658" max="6659" width="8.7109375" style="4"/>
    <col min="6660" max="6660" width="23.140625" style="4" customWidth="1"/>
    <col min="6661" max="6661" width="40.42578125" style="4" customWidth="1"/>
    <col min="6662" max="6662" width="10.5703125" style="4" customWidth="1"/>
    <col min="6663" max="6663" width="14" style="4" customWidth="1"/>
    <col min="6664" max="6664" width="125" style="4" customWidth="1"/>
    <col min="6665" max="6678" width="11.7109375" style="4" customWidth="1"/>
    <col min="6679" max="6679" width="10.140625" style="4" bestFit="1" customWidth="1"/>
    <col min="6680" max="6912" width="8.7109375" style="4"/>
    <col min="6913" max="6913" width="38" style="4" customWidth="1"/>
    <col min="6914" max="6915" width="8.7109375" style="4"/>
    <col min="6916" max="6916" width="23.140625" style="4" customWidth="1"/>
    <col min="6917" max="6917" width="40.42578125" style="4" customWidth="1"/>
    <col min="6918" max="6918" width="10.5703125" style="4" customWidth="1"/>
    <col min="6919" max="6919" width="14" style="4" customWidth="1"/>
    <col min="6920" max="6920" width="125" style="4" customWidth="1"/>
    <col min="6921" max="6934" width="11.7109375" style="4" customWidth="1"/>
    <col min="6935" max="6935" width="10.140625" style="4" bestFit="1" customWidth="1"/>
    <col min="6936" max="7168" width="8.7109375" style="4"/>
    <col min="7169" max="7169" width="38" style="4" customWidth="1"/>
    <col min="7170" max="7171" width="8.7109375" style="4"/>
    <col min="7172" max="7172" width="23.140625" style="4" customWidth="1"/>
    <col min="7173" max="7173" width="40.42578125" style="4" customWidth="1"/>
    <col min="7174" max="7174" width="10.5703125" style="4" customWidth="1"/>
    <col min="7175" max="7175" width="14" style="4" customWidth="1"/>
    <col min="7176" max="7176" width="125" style="4" customWidth="1"/>
    <col min="7177" max="7190" width="11.7109375" style="4" customWidth="1"/>
    <col min="7191" max="7191" width="10.140625" style="4" bestFit="1" customWidth="1"/>
    <col min="7192" max="7424" width="8.7109375" style="4"/>
    <col min="7425" max="7425" width="38" style="4" customWidth="1"/>
    <col min="7426" max="7427" width="8.7109375" style="4"/>
    <col min="7428" max="7428" width="23.140625" style="4" customWidth="1"/>
    <col min="7429" max="7429" width="40.42578125" style="4" customWidth="1"/>
    <col min="7430" max="7430" width="10.5703125" style="4" customWidth="1"/>
    <col min="7431" max="7431" width="14" style="4" customWidth="1"/>
    <col min="7432" max="7432" width="125" style="4" customWidth="1"/>
    <col min="7433" max="7446" width="11.7109375" style="4" customWidth="1"/>
    <col min="7447" max="7447" width="10.140625" style="4" bestFit="1" customWidth="1"/>
    <col min="7448" max="7680" width="8.7109375" style="4"/>
    <col min="7681" max="7681" width="38" style="4" customWidth="1"/>
    <col min="7682" max="7683" width="8.7109375" style="4"/>
    <col min="7684" max="7684" width="23.140625" style="4" customWidth="1"/>
    <col min="7685" max="7685" width="40.42578125" style="4" customWidth="1"/>
    <col min="7686" max="7686" width="10.5703125" style="4" customWidth="1"/>
    <col min="7687" max="7687" width="14" style="4" customWidth="1"/>
    <col min="7688" max="7688" width="125" style="4" customWidth="1"/>
    <col min="7689" max="7702" width="11.7109375" style="4" customWidth="1"/>
    <col min="7703" max="7703" width="10.140625" style="4" bestFit="1" customWidth="1"/>
    <col min="7704" max="7936" width="8.7109375" style="4"/>
    <col min="7937" max="7937" width="38" style="4" customWidth="1"/>
    <col min="7938" max="7939" width="8.7109375" style="4"/>
    <col min="7940" max="7940" width="23.140625" style="4" customWidth="1"/>
    <col min="7941" max="7941" width="40.42578125" style="4" customWidth="1"/>
    <col min="7942" max="7942" width="10.5703125" style="4" customWidth="1"/>
    <col min="7943" max="7943" width="14" style="4" customWidth="1"/>
    <col min="7944" max="7944" width="125" style="4" customWidth="1"/>
    <col min="7945" max="7958" width="11.7109375" style="4" customWidth="1"/>
    <col min="7959" max="7959" width="10.140625" style="4" bestFit="1" customWidth="1"/>
    <col min="7960" max="8192" width="8.7109375" style="4"/>
    <col min="8193" max="8193" width="38" style="4" customWidth="1"/>
    <col min="8194" max="8195" width="8.7109375" style="4"/>
    <col min="8196" max="8196" width="23.140625" style="4" customWidth="1"/>
    <col min="8197" max="8197" width="40.42578125" style="4" customWidth="1"/>
    <col min="8198" max="8198" width="10.5703125" style="4" customWidth="1"/>
    <col min="8199" max="8199" width="14" style="4" customWidth="1"/>
    <col min="8200" max="8200" width="125" style="4" customWidth="1"/>
    <col min="8201" max="8214" width="11.7109375" style="4" customWidth="1"/>
    <col min="8215" max="8215" width="10.140625" style="4" bestFit="1" customWidth="1"/>
    <col min="8216" max="8448" width="8.7109375" style="4"/>
    <col min="8449" max="8449" width="38" style="4" customWidth="1"/>
    <col min="8450" max="8451" width="8.7109375" style="4"/>
    <col min="8452" max="8452" width="23.140625" style="4" customWidth="1"/>
    <col min="8453" max="8453" width="40.42578125" style="4" customWidth="1"/>
    <col min="8454" max="8454" width="10.5703125" style="4" customWidth="1"/>
    <col min="8455" max="8455" width="14" style="4" customWidth="1"/>
    <col min="8456" max="8456" width="125" style="4" customWidth="1"/>
    <col min="8457" max="8470" width="11.7109375" style="4" customWidth="1"/>
    <col min="8471" max="8471" width="10.140625" style="4" bestFit="1" customWidth="1"/>
    <col min="8472" max="8704" width="8.7109375" style="4"/>
    <col min="8705" max="8705" width="38" style="4" customWidth="1"/>
    <col min="8706" max="8707" width="8.7109375" style="4"/>
    <col min="8708" max="8708" width="23.140625" style="4" customWidth="1"/>
    <col min="8709" max="8709" width="40.42578125" style="4" customWidth="1"/>
    <col min="8710" max="8710" width="10.5703125" style="4" customWidth="1"/>
    <col min="8711" max="8711" width="14" style="4" customWidth="1"/>
    <col min="8712" max="8712" width="125" style="4" customWidth="1"/>
    <col min="8713" max="8726" width="11.7109375" style="4" customWidth="1"/>
    <col min="8727" max="8727" width="10.140625" style="4" bestFit="1" customWidth="1"/>
    <col min="8728" max="8960" width="8.7109375" style="4"/>
    <col min="8961" max="8961" width="38" style="4" customWidth="1"/>
    <col min="8962" max="8963" width="8.7109375" style="4"/>
    <col min="8964" max="8964" width="23.140625" style="4" customWidth="1"/>
    <col min="8965" max="8965" width="40.42578125" style="4" customWidth="1"/>
    <col min="8966" max="8966" width="10.5703125" style="4" customWidth="1"/>
    <col min="8967" max="8967" width="14" style="4" customWidth="1"/>
    <col min="8968" max="8968" width="125" style="4" customWidth="1"/>
    <col min="8969" max="8982" width="11.7109375" style="4" customWidth="1"/>
    <col min="8983" max="8983" width="10.140625" style="4" bestFit="1" customWidth="1"/>
    <col min="8984" max="9216" width="8.7109375" style="4"/>
    <col min="9217" max="9217" width="38" style="4" customWidth="1"/>
    <col min="9218" max="9219" width="8.7109375" style="4"/>
    <col min="9220" max="9220" width="23.140625" style="4" customWidth="1"/>
    <col min="9221" max="9221" width="40.42578125" style="4" customWidth="1"/>
    <col min="9222" max="9222" width="10.5703125" style="4" customWidth="1"/>
    <col min="9223" max="9223" width="14" style="4" customWidth="1"/>
    <col min="9224" max="9224" width="125" style="4" customWidth="1"/>
    <col min="9225" max="9238" width="11.7109375" style="4" customWidth="1"/>
    <col min="9239" max="9239" width="10.140625" style="4" bestFit="1" customWidth="1"/>
    <col min="9240" max="9472" width="8.7109375" style="4"/>
    <col min="9473" max="9473" width="38" style="4" customWidth="1"/>
    <col min="9474" max="9475" width="8.7109375" style="4"/>
    <col min="9476" max="9476" width="23.140625" style="4" customWidth="1"/>
    <col min="9477" max="9477" width="40.42578125" style="4" customWidth="1"/>
    <col min="9478" max="9478" width="10.5703125" style="4" customWidth="1"/>
    <col min="9479" max="9479" width="14" style="4" customWidth="1"/>
    <col min="9480" max="9480" width="125" style="4" customWidth="1"/>
    <col min="9481" max="9494" width="11.7109375" style="4" customWidth="1"/>
    <col min="9495" max="9495" width="10.140625" style="4" bestFit="1" customWidth="1"/>
    <col min="9496" max="9728" width="8.7109375" style="4"/>
    <col min="9729" max="9729" width="38" style="4" customWidth="1"/>
    <col min="9730" max="9731" width="8.7109375" style="4"/>
    <col min="9732" max="9732" width="23.140625" style="4" customWidth="1"/>
    <col min="9733" max="9733" width="40.42578125" style="4" customWidth="1"/>
    <col min="9734" max="9734" width="10.5703125" style="4" customWidth="1"/>
    <col min="9735" max="9735" width="14" style="4" customWidth="1"/>
    <col min="9736" max="9736" width="125" style="4" customWidth="1"/>
    <col min="9737" max="9750" width="11.7109375" style="4" customWidth="1"/>
    <col min="9751" max="9751" width="10.140625" style="4" bestFit="1" customWidth="1"/>
    <col min="9752" max="9984" width="8.7109375" style="4"/>
    <col min="9985" max="9985" width="38" style="4" customWidth="1"/>
    <col min="9986" max="9987" width="8.7109375" style="4"/>
    <col min="9988" max="9988" width="23.140625" style="4" customWidth="1"/>
    <col min="9989" max="9989" width="40.42578125" style="4" customWidth="1"/>
    <col min="9990" max="9990" width="10.5703125" style="4" customWidth="1"/>
    <col min="9991" max="9991" width="14" style="4" customWidth="1"/>
    <col min="9992" max="9992" width="125" style="4" customWidth="1"/>
    <col min="9993" max="10006" width="11.7109375" style="4" customWidth="1"/>
    <col min="10007" max="10007" width="10.140625" style="4" bestFit="1" customWidth="1"/>
    <col min="10008" max="10240" width="8.7109375" style="4"/>
    <col min="10241" max="10241" width="38" style="4" customWidth="1"/>
    <col min="10242" max="10243" width="8.7109375" style="4"/>
    <col min="10244" max="10244" width="23.140625" style="4" customWidth="1"/>
    <col min="10245" max="10245" width="40.42578125" style="4" customWidth="1"/>
    <col min="10246" max="10246" width="10.5703125" style="4" customWidth="1"/>
    <col min="10247" max="10247" width="14" style="4" customWidth="1"/>
    <col min="10248" max="10248" width="125" style="4" customWidth="1"/>
    <col min="10249" max="10262" width="11.7109375" style="4" customWidth="1"/>
    <col min="10263" max="10263" width="10.140625" style="4" bestFit="1" customWidth="1"/>
    <col min="10264" max="10496" width="8.7109375" style="4"/>
    <col min="10497" max="10497" width="38" style="4" customWidth="1"/>
    <col min="10498" max="10499" width="8.7109375" style="4"/>
    <col min="10500" max="10500" width="23.140625" style="4" customWidth="1"/>
    <col min="10501" max="10501" width="40.42578125" style="4" customWidth="1"/>
    <col min="10502" max="10502" width="10.5703125" style="4" customWidth="1"/>
    <col min="10503" max="10503" width="14" style="4" customWidth="1"/>
    <col min="10504" max="10504" width="125" style="4" customWidth="1"/>
    <col min="10505" max="10518" width="11.7109375" style="4" customWidth="1"/>
    <col min="10519" max="10519" width="10.140625" style="4" bestFit="1" customWidth="1"/>
    <col min="10520" max="10752" width="8.7109375" style="4"/>
    <col min="10753" max="10753" width="38" style="4" customWidth="1"/>
    <col min="10754" max="10755" width="8.7109375" style="4"/>
    <col min="10756" max="10756" width="23.140625" style="4" customWidth="1"/>
    <col min="10757" max="10757" width="40.42578125" style="4" customWidth="1"/>
    <col min="10758" max="10758" width="10.5703125" style="4" customWidth="1"/>
    <col min="10759" max="10759" width="14" style="4" customWidth="1"/>
    <col min="10760" max="10760" width="125" style="4" customWidth="1"/>
    <col min="10761" max="10774" width="11.7109375" style="4" customWidth="1"/>
    <col min="10775" max="10775" width="10.140625" style="4" bestFit="1" customWidth="1"/>
    <col min="10776" max="11008" width="8.7109375" style="4"/>
    <col min="11009" max="11009" width="38" style="4" customWidth="1"/>
    <col min="11010" max="11011" width="8.7109375" style="4"/>
    <col min="11012" max="11012" width="23.140625" style="4" customWidth="1"/>
    <col min="11013" max="11013" width="40.42578125" style="4" customWidth="1"/>
    <col min="11014" max="11014" width="10.5703125" style="4" customWidth="1"/>
    <col min="11015" max="11015" width="14" style="4" customWidth="1"/>
    <col min="11016" max="11016" width="125" style="4" customWidth="1"/>
    <col min="11017" max="11030" width="11.7109375" style="4" customWidth="1"/>
    <col min="11031" max="11031" width="10.140625" style="4" bestFit="1" customWidth="1"/>
    <col min="11032" max="11264" width="8.7109375" style="4"/>
    <col min="11265" max="11265" width="38" style="4" customWidth="1"/>
    <col min="11266" max="11267" width="8.7109375" style="4"/>
    <col min="11268" max="11268" width="23.140625" style="4" customWidth="1"/>
    <col min="11269" max="11269" width="40.42578125" style="4" customWidth="1"/>
    <col min="11270" max="11270" width="10.5703125" style="4" customWidth="1"/>
    <col min="11271" max="11271" width="14" style="4" customWidth="1"/>
    <col min="11272" max="11272" width="125" style="4" customWidth="1"/>
    <col min="11273" max="11286" width="11.7109375" style="4" customWidth="1"/>
    <col min="11287" max="11287" width="10.140625" style="4" bestFit="1" customWidth="1"/>
    <col min="11288" max="11520" width="8.7109375" style="4"/>
    <col min="11521" max="11521" width="38" style="4" customWidth="1"/>
    <col min="11522" max="11523" width="8.7109375" style="4"/>
    <col min="11524" max="11524" width="23.140625" style="4" customWidth="1"/>
    <col min="11525" max="11525" width="40.42578125" style="4" customWidth="1"/>
    <col min="11526" max="11526" width="10.5703125" style="4" customWidth="1"/>
    <col min="11527" max="11527" width="14" style="4" customWidth="1"/>
    <col min="11528" max="11528" width="125" style="4" customWidth="1"/>
    <col min="11529" max="11542" width="11.7109375" style="4" customWidth="1"/>
    <col min="11543" max="11543" width="10.140625" style="4" bestFit="1" customWidth="1"/>
    <col min="11544" max="11776" width="8.7109375" style="4"/>
    <col min="11777" max="11777" width="38" style="4" customWidth="1"/>
    <col min="11778" max="11779" width="8.7109375" style="4"/>
    <col min="11780" max="11780" width="23.140625" style="4" customWidth="1"/>
    <col min="11781" max="11781" width="40.42578125" style="4" customWidth="1"/>
    <col min="11782" max="11782" width="10.5703125" style="4" customWidth="1"/>
    <col min="11783" max="11783" width="14" style="4" customWidth="1"/>
    <col min="11784" max="11784" width="125" style="4" customWidth="1"/>
    <col min="11785" max="11798" width="11.7109375" style="4" customWidth="1"/>
    <col min="11799" max="11799" width="10.140625" style="4" bestFit="1" customWidth="1"/>
    <col min="11800" max="12032" width="8.7109375" style="4"/>
    <col min="12033" max="12033" width="38" style="4" customWidth="1"/>
    <col min="12034" max="12035" width="8.7109375" style="4"/>
    <col min="12036" max="12036" width="23.140625" style="4" customWidth="1"/>
    <col min="12037" max="12037" width="40.42578125" style="4" customWidth="1"/>
    <col min="12038" max="12038" width="10.5703125" style="4" customWidth="1"/>
    <col min="12039" max="12039" width="14" style="4" customWidth="1"/>
    <col min="12040" max="12040" width="125" style="4" customWidth="1"/>
    <col min="12041" max="12054" width="11.7109375" style="4" customWidth="1"/>
    <col min="12055" max="12055" width="10.140625" style="4" bestFit="1" customWidth="1"/>
    <col min="12056" max="12288" width="8.7109375" style="4"/>
    <col min="12289" max="12289" width="38" style="4" customWidth="1"/>
    <col min="12290" max="12291" width="8.7109375" style="4"/>
    <col min="12292" max="12292" width="23.140625" style="4" customWidth="1"/>
    <col min="12293" max="12293" width="40.42578125" style="4" customWidth="1"/>
    <col min="12294" max="12294" width="10.5703125" style="4" customWidth="1"/>
    <col min="12295" max="12295" width="14" style="4" customWidth="1"/>
    <col min="12296" max="12296" width="125" style="4" customWidth="1"/>
    <col min="12297" max="12310" width="11.7109375" style="4" customWidth="1"/>
    <col min="12311" max="12311" width="10.140625" style="4" bestFit="1" customWidth="1"/>
    <col min="12312" max="12544" width="8.7109375" style="4"/>
    <col min="12545" max="12545" width="38" style="4" customWidth="1"/>
    <col min="12546" max="12547" width="8.7109375" style="4"/>
    <col min="12548" max="12548" width="23.140625" style="4" customWidth="1"/>
    <col min="12549" max="12549" width="40.42578125" style="4" customWidth="1"/>
    <col min="12550" max="12550" width="10.5703125" style="4" customWidth="1"/>
    <col min="12551" max="12551" width="14" style="4" customWidth="1"/>
    <col min="12552" max="12552" width="125" style="4" customWidth="1"/>
    <col min="12553" max="12566" width="11.7109375" style="4" customWidth="1"/>
    <col min="12567" max="12567" width="10.140625" style="4" bestFit="1" customWidth="1"/>
    <col min="12568" max="12800" width="8.7109375" style="4"/>
    <col min="12801" max="12801" width="38" style="4" customWidth="1"/>
    <col min="12802" max="12803" width="8.7109375" style="4"/>
    <col min="12804" max="12804" width="23.140625" style="4" customWidth="1"/>
    <col min="12805" max="12805" width="40.42578125" style="4" customWidth="1"/>
    <col min="12806" max="12806" width="10.5703125" style="4" customWidth="1"/>
    <col min="12807" max="12807" width="14" style="4" customWidth="1"/>
    <col min="12808" max="12808" width="125" style="4" customWidth="1"/>
    <col min="12809" max="12822" width="11.7109375" style="4" customWidth="1"/>
    <col min="12823" max="12823" width="10.140625" style="4" bestFit="1" customWidth="1"/>
    <col min="12824" max="13056" width="8.7109375" style="4"/>
    <col min="13057" max="13057" width="38" style="4" customWidth="1"/>
    <col min="13058" max="13059" width="8.7109375" style="4"/>
    <col min="13060" max="13060" width="23.140625" style="4" customWidth="1"/>
    <col min="13061" max="13061" width="40.42578125" style="4" customWidth="1"/>
    <col min="13062" max="13062" width="10.5703125" style="4" customWidth="1"/>
    <col min="13063" max="13063" width="14" style="4" customWidth="1"/>
    <col min="13064" max="13064" width="125" style="4" customWidth="1"/>
    <col min="13065" max="13078" width="11.7109375" style="4" customWidth="1"/>
    <col min="13079" max="13079" width="10.140625" style="4" bestFit="1" customWidth="1"/>
    <col min="13080" max="13312" width="8.7109375" style="4"/>
    <col min="13313" max="13313" width="38" style="4" customWidth="1"/>
    <col min="13314" max="13315" width="8.7109375" style="4"/>
    <col min="13316" max="13316" width="23.140625" style="4" customWidth="1"/>
    <col min="13317" max="13317" width="40.42578125" style="4" customWidth="1"/>
    <col min="13318" max="13318" width="10.5703125" style="4" customWidth="1"/>
    <col min="13319" max="13319" width="14" style="4" customWidth="1"/>
    <col min="13320" max="13320" width="125" style="4" customWidth="1"/>
    <col min="13321" max="13334" width="11.7109375" style="4" customWidth="1"/>
    <col min="13335" max="13335" width="10.140625" style="4" bestFit="1" customWidth="1"/>
    <col min="13336" max="13568" width="8.7109375" style="4"/>
    <col min="13569" max="13569" width="38" style="4" customWidth="1"/>
    <col min="13570" max="13571" width="8.7109375" style="4"/>
    <col min="13572" max="13572" width="23.140625" style="4" customWidth="1"/>
    <col min="13573" max="13573" width="40.42578125" style="4" customWidth="1"/>
    <col min="13574" max="13574" width="10.5703125" style="4" customWidth="1"/>
    <col min="13575" max="13575" width="14" style="4" customWidth="1"/>
    <col min="13576" max="13576" width="125" style="4" customWidth="1"/>
    <col min="13577" max="13590" width="11.7109375" style="4" customWidth="1"/>
    <col min="13591" max="13591" width="10.140625" style="4" bestFit="1" customWidth="1"/>
    <col min="13592" max="13824" width="8.7109375" style="4"/>
    <col min="13825" max="13825" width="38" style="4" customWidth="1"/>
    <col min="13826" max="13827" width="8.7109375" style="4"/>
    <col min="13828" max="13828" width="23.140625" style="4" customWidth="1"/>
    <col min="13829" max="13829" width="40.42578125" style="4" customWidth="1"/>
    <col min="13830" max="13830" width="10.5703125" style="4" customWidth="1"/>
    <col min="13831" max="13831" width="14" style="4" customWidth="1"/>
    <col min="13832" max="13832" width="125" style="4" customWidth="1"/>
    <col min="13833" max="13846" width="11.7109375" style="4" customWidth="1"/>
    <col min="13847" max="13847" width="10.140625" style="4" bestFit="1" customWidth="1"/>
    <col min="13848" max="14080" width="8.7109375" style="4"/>
    <col min="14081" max="14081" width="38" style="4" customWidth="1"/>
    <col min="14082" max="14083" width="8.7109375" style="4"/>
    <col min="14084" max="14084" width="23.140625" style="4" customWidth="1"/>
    <col min="14085" max="14085" width="40.42578125" style="4" customWidth="1"/>
    <col min="14086" max="14086" width="10.5703125" style="4" customWidth="1"/>
    <col min="14087" max="14087" width="14" style="4" customWidth="1"/>
    <col min="14088" max="14088" width="125" style="4" customWidth="1"/>
    <col min="14089" max="14102" width="11.7109375" style="4" customWidth="1"/>
    <col min="14103" max="14103" width="10.140625" style="4" bestFit="1" customWidth="1"/>
    <col min="14104" max="14336" width="8.7109375" style="4"/>
    <col min="14337" max="14337" width="38" style="4" customWidth="1"/>
    <col min="14338" max="14339" width="8.7109375" style="4"/>
    <col min="14340" max="14340" width="23.140625" style="4" customWidth="1"/>
    <col min="14341" max="14341" width="40.42578125" style="4" customWidth="1"/>
    <col min="14342" max="14342" width="10.5703125" style="4" customWidth="1"/>
    <col min="14343" max="14343" width="14" style="4" customWidth="1"/>
    <col min="14344" max="14344" width="125" style="4" customWidth="1"/>
    <col min="14345" max="14358" width="11.7109375" style="4" customWidth="1"/>
    <col min="14359" max="14359" width="10.140625" style="4" bestFit="1" customWidth="1"/>
    <col min="14360" max="14592" width="8.7109375" style="4"/>
    <col min="14593" max="14593" width="38" style="4" customWidth="1"/>
    <col min="14594" max="14595" width="8.7109375" style="4"/>
    <col min="14596" max="14596" width="23.140625" style="4" customWidth="1"/>
    <col min="14597" max="14597" width="40.42578125" style="4" customWidth="1"/>
    <col min="14598" max="14598" width="10.5703125" style="4" customWidth="1"/>
    <col min="14599" max="14599" width="14" style="4" customWidth="1"/>
    <col min="14600" max="14600" width="125" style="4" customWidth="1"/>
    <col min="14601" max="14614" width="11.7109375" style="4" customWidth="1"/>
    <col min="14615" max="14615" width="10.140625" style="4" bestFit="1" customWidth="1"/>
    <col min="14616" max="14848" width="8.7109375" style="4"/>
    <col min="14849" max="14849" width="38" style="4" customWidth="1"/>
    <col min="14850" max="14851" width="8.7109375" style="4"/>
    <col min="14852" max="14852" width="23.140625" style="4" customWidth="1"/>
    <col min="14853" max="14853" width="40.42578125" style="4" customWidth="1"/>
    <col min="14854" max="14854" width="10.5703125" style="4" customWidth="1"/>
    <col min="14855" max="14855" width="14" style="4" customWidth="1"/>
    <col min="14856" max="14856" width="125" style="4" customWidth="1"/>
    <col min="14857" max="14870" width="11.7109375" style="4" customWidth="1"/>
    <col min="14871" max="14871" width="10.140625" style="4" bestFit="1" customWidth="1"/>
    <col min="14872" max="15104" width="8.7109375" style="4"/>
    <col min="15105" max="15105" width="38" style="4" customWidth="1"/>
    <col min="15106" max="15107" width="8.7109375" style="4"/>
    <col min="15108" max="15108" width="23.140625" style="4" customWidth="1"/>
    <col min="15109" max="15109" width="40.42578125" style="4" customWidth="1"/>
    <col min="15110" max="15110" width="10.5703125" style="4" customWidth="1"/>
    <col min="15111" max="15111" width="14" style="4" customWidth="1"/>
    <col min="15112" max="15112" width="125" style="4" customWidth="1"/>
    <col min="15113" max="15126" width="11.7109375" style="4" customWidth="1"/>
    <col min="15127" max="15127" width="10.140625" style="4" bestFit="1" customWidth="1"/>
    <col min="15128" max="15360" width="8.7109375" style="4"/>
    <col min="15361" max="15361" width="38" style="4" customWidth="1"/>
    <col min="15362" max="15363" width="8.7109375" style="4"/>
    <col min="15364" max="15364" width="23.140625" style="4" customWidth="1"/>
    <col min="15365" max="15365" width="40.42578125" style="4" customWidth="1"/>
    <col min="15366" max="15366" width="10.5703125" style="4" customWidth="1"/>
    <col min="15367" max="15367" width="14" style="4" customWidth="1"/>
    <col min="15368" max="15368" width="125" style="4" customWidth="1"/>
    <col min="15369" max="15382" width="11.7109375" style="4" customWidth="1"/>
    <col min="15383" max="15383" width="10.140625" style="4" bestFit="1" customWidth="1"/>
    <col min="15384" max="15616" width="8.7109375" style="4"/>
    <col min="15617" max="15617" width="38" style="4" customWidth="1"/>
    <col min="15618" max="15619" width="8.7109375" style="4"/>
    <col min="15620" max="15620" width="23.140625" style="4" customWidth="1"/>
    <col min="15621" max="15621" width="40.42578125" style="4" customWidth="1"/>
    <col min="15622" max="15622" width="10.5703125" style="4" customWidth="1"/>
    <col min="15623" max="15623" width="14" style="4" customWidth="1"/>
    <col min="15624" max="15624" width="125" style="4" customWidth="1"/>
    <col min="15625" max="15638" width="11.7109375" style="4" customWidth="1"/>
    <col min="15639" max="15639" width="10.140625" style="4" bestFit="1" customWidth="1"/>
    <col min="15640" max="15872" width="8.7109375" style="4"/>
    <col min="15873" max="15873" width="38" style="4" customWidth="1"/>
    <col min="15874" max="15875" width="8.7109375" style="4"/>
    <col min="15876" max="15876" width="23.140625" style="4" customWidth="1"/>
    <col min="15877" max="15877" width="40.42578125" style="4" customWidth="1"/>
    <col min="15878" max="15878" width="10.5703125" style="4" customWidth="1"/>
    <col min="15879" max="15879" width="14" style="4" customWidth="1"/>
    <col min="15880" max="15880" width="125" style="4" customWidth="1"/>
    <col min="15881" max="15894" width="11.7109375" style="4" customWidth="1"/>
    <col min="15895" max="15895" width="10.140625" style="4" bestFit="1" customWidth="1"/>
    <col min="15896" max="16128" width="8.7109375" style="4"/>
    <col min="16129" max="16129" width="38" style="4" customWidth="1"/>
    <col min="16130" max="16131" width="8.7109375" style="4"/>
    <col min="16132" max="16132" width="23.140625" style="4" customWidth="1"/>
    <col min="16133" max="16133" width="40.42578125" style="4" customWidth="1"/>
    <col min="16134" max="16134" width="10.5703125" style="4" customWidth="1"/>
    <col min="16135" max="16135" width="14" style="4" customWidth="1"/>
    <col min="16136" max="16136" width="125" style="4" customWidth="1"/>
    <col min="16137" max="16150" width="11.7109375" style="4" customWidth="1"/>
    <col min="16151" max="16151" width="10.140625" style="4" bestFit="1" customWidth="1"/>
    <col min="16152" max="16384" width="8.7109375" style="4"/>
  </cols>
  <sheetData>
    <row r="1" spans="1:9" ht="45" x14ac:dyDescent="0.6">
      <c r="A1" s="19" t="s">
        <v>273</v>
      </c>
      <c r="I1" s="20"/>
    </row>
    <row r="2" spans="1:9" ht="11.25" customHeight="1" x14ac:dyDescent="0.6">
      <c r="A2" s="19"/>
      <c r="I2" s="20"/>
    </row>
    <row r="3" spans="1:9" ht="20.100000000000001" customHeight="1" x14ac:dyDescent="0.3">
      <c r="A3" s="21" t="s">
        <v>14</v>
      </c>
      <c r="F3" s="21"/>
      <c r="I3" s="22"/>
    </row>
    <row r="4" spans="1:9" ht="20.100000000000001" customHeight="1" x14ac:dyDescent="0.3">
      <c r="A4" s="22"/>
      <c r="I4" s="22"/>
    </row>
    <row r="5" spans="1:9" ht="18" x14ac:dyDescent="0.25">
      <c r="A5" s="21" t="s">
        <v>15</v>
      </c>
      <c r="E5" s="7"/>
    </row>
    <row r="6" spans="1:9" ht="18" x14ac:dyDescent="0.25">
      <c r="A6" s="21"/>
      <c r="E6" s="7"/>
    </row>
    <row r="7" spans="1:9" ht="12.75" customHeight="1" x14ac:dyDescent="0.25">
      <c r="A7" s="23" t="s">
        <v>16</v>
      </c>
      <c r="B7" s="447" t="str">
        <f>IF('Proj.gegevens_invest.begroting'!D5&gt;0,'Proj.gegevens_invest.begroting'!D5,"")</f>
        <v/>
      </c>
      <c r="C7" s="448"/>
      <c r="D7" s="448"/>
      <c r="E7" s="449"/>
      <c r="F7" s="249"/>
    </row>
    <row r="8" spans="1:9" ht="12.75" customHeight="1" x14ac:dyDescent="0.25">
      <c r="A8" s="23"/>
      <c r="B8" s="249"/>
      <c r="F8" s="249"/>
    </row>
    <row r="9" spans="1:9" ht="26.25" customHeight="1" x14ac:dyDescent="0.25">
      <c r="A9" s="24" t="s">
        <v>310</v>
      </c>
      <c r="F9" s="250"/>
    </row>
    <row r="10" spans="1:9" ht="18" customHeight="1" x14ac:dyDescent="0.25">
      <c r="A10" s="251" t="str">
        <f>IF(Hulpblad_overig!B8=2,"U maakt gebruik van balansfinanciering","U maakt gebruik van projectfinanciering, u kunt regels 11 t/m 13 overslaan")</f>
        <v>U maakt gebruik van projectfinanciering, u kunt regels 11 t/m 13 overslaan</v>
      </c>
      <c r="F10" s="252"/>
    </row>
    <row r="11" spans="1:9" ht="12.75" customHeight="1" x14ac:dyDescent="0.25">
      <c r="A11" s="253" t="str">
        <f>IF(Hulpblad_overig!B8=2,"Wat is het eigen vermogen (€)?","Niet van toepassing")</f>
        <v>Niet van toepassing</v>
      </c>
      <c r="E11" s="78">
        <v>0</v>
      </c>
      <c r="F11" s="252"/>
    </row>
    <row r="12" spans="1:9" ht="12.75" customHeight="1" x14ac:dyDescent="0.25">
      <c r="A12" s="253" t="str">
        <f>IF(Hulpblad_overig!B8=2,"Wat is het rentedragende gefinancierde vermogen (€)?","Niet van toepassing")</f>
        <v>Niet van toepassing</v>
      </c>
      <c r="E12" s="79">
        <v>0</v>
      </c>
      <c r="F12" s="252"/>
    </row>
    <row r="13" spans="1:9" ht="12.75" customHeight="1" x14ac:dyDescent="0.25">
      <c r="A13" s="253" t="str">
        <f>IF(Hulpblad_overig!B8=2,"Berekend percentage eigen vermogen voor OWE aanvragen (exc. inv.subs.) (%)","Niet van toepassing")</f>
        <v>Niet van toepassing</v>
      </c>
      <c r="E13" s="254">
        <f>IF(Hulpblad_overig!B8=1,0,E11/(E11+E12))</f>
        <v>0</v>
      </c>
      <c r="F13" s="252"/>
      <c r="H13" s="255" t="str">
        <f>IF(AND(Hulpblad_overig!B8=2,E13&lt;20%),"U maakt gebruik van balansfinanciering met minder dan 20% eigen vermogen. Voeg intentieverklaringen toe van beoogde financiers voor het totaal benodigde vreemd vermogen","")</f>
        <v/>
      </c>
    </row>
    <row r="14" spans="1:9" ht="12.75" customHeight="1" x14ac:dyDescent="0.25">
      <c r="A14" s="253"/>
      <c r="E14" s="256"/>
      <c r="F14" s="252"/>
    </row>
    <row r="15" spans="1:9" ht="12.75" customHeight="1" x14ac:dyDescent="0.25">
      <c r="A15" s="253"/>
      <c r="E15" s="256"/>
      <c r="F15" s="252"/>
      <c r="H15" s="255" t="str">
        <f>IF(Hulpblad_overig!B15=1,"Voeg een jaarrekening toe",IF(Hulpblad_overig!B15=2,"Voeg een bedrijfsbalans met resultatenrekening toe",IF(Hulpblad_overig!B15=3,"Voeg een openingsbalans toe","")))</f>
        <v>Voeg een jaarrekening toe</v>
      </c>
    </row>
    <row r="16" spans="1:9" ht="12.75" customHeight="1" x14ac:dyDescent="0.25">
      <c r="A16" s="7" t="s">
        <v>17</v>
      </c>
      <c r="E16" s="256"/>
      <c r="F16" s="252"/>
    </row>
    <row r="17" spans="1:22" ht="12.75" customHeight="1" x14ac:dyDescent="0.25">
      <c r="A17" s="253"/>
      <c r="E17" s="256"/>
      <c r="F17" s="252"/>
    </row>
    <row r="18" spans="1:22" ht="14.25" customHeight="1" x14ac:dyDescent="0.25">
      <c r="A18" s="21"/>
    </row>
    <row r="19" spans="1:22" ht="12.75" customHeight="1" x14ac:dyDescent="0.25">
      <c r="A19" s="253" t="s">
        <v>18</v>
      </c>
      <c r="C19" s="257"/>
      <c r="D19" s="25"/>
      <c r="E19" s="77">
        <v>1</v>
      </c>
    </row>
    <row r="20" spans="1:22" ht="12.75" customHeight="1" x14ac:dyDescent="0.25">
      <c r="A20" s="253"/>
      <c r="C20" s="257"/>
      <c r="D20" s="25"/>
    </row>
    <row r="21" spans="1:22" ht="18" customHeight="1" x14ac:dyDescent="0.25">
      <c r="A21" s="21" t="s">
        <v>19</v>
      </c>
      <c r="B21" s="258"/>
      <c r="C21" s="259"/>
      <c r="D21" s="5"/>
      <c r="E21" s="260"/>
      <c r="F21" s="23"/>
      <c r="G21" s="26"/>
    </row>
    <row r="22" spans="1:22" ht="163.5" customHeight="1" x14ac:dyDescent="0.25">
      <c r="A22" s="7"/>
      <c r="B22" s="450"/>
      <c r="C22" s="451"/>
      <c r="D22" s="451"/>
      <c r="E22" s="451"/>
      <c r="F22" s="451"/>
      <c r="G22" s="452"/>
    </row>
    <row r="23" spans="1:22" ht="19.5" customHeight="1" x14ac:dyDescent="0.25">
      <c r="C23" s="257"/>
      <c r="D23" s="25"/>
      <c r="E23" s="25"/>
    </row>
    <row r="24" spans="1:22" ht="18" customHeight="1" x14ac:dyDescent="0.25">
      <c r="A24" s="21" t="s">
        <v>20</v>
      </c>
      <c r="C24" s="257"/>
      <c r="D24" s="25"/>
      <c r="E24" s="25"/>
    </row>
    <row r="25" spans="1:22" ht="163.5" customHeight="1" x14ac:dyDescent="0.25">
      <c r="A25" s="23"/>
      <c r="B25" s="453"/>
      <c r="C25" s="454"/>
      <c r="D25" s="454"/>
      <c r="E25" s="454"/>
      <c r="F25" s="455"/>
      <c r="G25" s="456"/>
    </row>
    <row r="26" spans="1:22" x14ac:dyDescent="0.25">
      <c r="A26" s="23"/>
      <c r="C26" s="257"/>
      <c r="D26" s="25"/>
      <c r="E26" s="25"/>
    </row>
    <row r="28" spans="1:22" ht="18" x14ac:dyDescent="0.25">
      <c r="A28" s="21" t="s">
        <v>21</v>
      </c>
    </row>
    <row r="29" spans="1:22" x14ac:dyDescent="0.25">
      <c r="A29" s="7" t="s">
        <v>22</v>
      </c>
    </row>
    <row r="30" spans="1:22" ht="12.75" customHeight="1" x14ac:dyDescent="0.25">
      <c r="B30" s="457" t="str">
        <f>IF('Proj.gegevens_invest.begroting'!D7&gt;0, 'Proj.gegevens_invest.begroting'!D7, "")</f>
        <v/>
      </c>
      <c r="C30" s="458"/>
      <c r="D30" s="458"/>
      <c r="E30" s="459"/>
      <c r="G30" s="261">
        <f>'Proj.gegevens_invest.begroting'!G135</f>
        <v>0</v>
      </c>
      <c r="H30" s="262" t="str">
        <f>IF(G30&gt;0,"Voeg eventueel offerte(s) toe voor "&amp;B30&amp;"","")</f>
        <v/>
      </c>
      <c r="I30" s="25"/>
      <c r="J30" s="25"/>
      <c r="K30" s="25"/>
      <c r="L30" s="25"/>
      <c r="M30" s="25"/>
      <c r="N30" s="25"/>
      <c r="O30" s="25"/>
      <c r="P30" s="25"/>
      <c r="Q30" s="25"/>
      <c r="R30" s="25"/>
      <c r="S30" s="25"/>
      <c r="T30" s="25"/>
      <c r="U30" s="25"/>
      <c r="V30" s="25"/>
    </row>
    <row r="31" spans="1:22" ht="12.75" customHeight="1" x14ac:dyDescent="0.25">
      <c r="B31" s="444"/>
      <c r="C31" s="445"/>
      <c r="D31" s="445"/>
      <c r="E31" s="446"/>
      <c r="G31" s="79">
        <v>0</v>
      </c>
      <c r="H31" s="262" t="str">
        <f t="shared" ref="H31:H37" si="0">IF(G31&gt;0,"Voeg eventueel offerte(s) toe voor "&amp;B31&amp;"","")</f>
        <v/>
      </c>
      <c r="I31" s="25"/>
      <c r="J31" s="25"/>
      <c r="K31" s="25"/>
      <c r="L31" s="25"/>
      <c r="M31" s="25"/>
      <c r="N31" s="25"/>
      <c r="O31" s="25"/>
      <c r="P31" s="25"/>
      <c r="Q31" s="25"/>
      <c r="R31" s="25"/>
      <c r="S31" s="25"/>
      <c r="T31" s="25"/>
      <c r="U31" s="25"/>
      <c r="V31" s="25"/>
    </row>
    <row r="32" spans="1:22" ht="12.75" customHeight="1" x14ac:dyDescent="0.25">
      <c r="B32" s="444"/>
      <c r="C32" s="445"/>
      <c r="D32" s="445"/>
      <c r="E32" s="446"/>
      <c r="G32" s="79">
        <v>0</v>
      </c>
      <c r="H32" s="262" t="str">
        <f t="shared" si="0"/>
        <v/>
      </c>
      <c r="I32" s="25"/>
      <c r="J32" s="25"/>
      <c r="K32" s="25"/>
      <c r="L32" s="25"/>
      <c r="M32" s="25"/>
      <c r="N32" s="25"/>
      <c r="O32" s="25"/>
      <c r="P32" s="25"/>
      <c r="Q32" s="25"/>
      <c r="R32" s="25"/>
      <c r="S32" s="25"/>
      <c r="T32" s="25"/>
      <c r="U32" s="25"/>
      <c r="V32" s="25"/>
    </row>
    <row r="33" spans="1:23" ht="12.75" customHeight="1" x14ac:dyDescent="0.25">
      <c r="B33" s="444"/>
      <c r="C33" s="445"/>
      <c r="D33" s="445"/>
      <c r="E33" s="446"/>
      <c r="G33" s="79">
        <v>0</v>
      </c>
      <c r="H33" s="262" t="str">
        <f t="shared" si="0"/>
        <v/>
      </c>
      <c r="I33" s="25"/>
      <c r="J33" s="25"/>
      <c r="K33" s="25"/>
      <c r="L33" s="25"/>
      <c r="M33" s="25"/>
      <c r="N33" s="25"/>
      <c r="O33" s="25"/>
      <c r="P33" s="25"/>
      <c r="Q33" s="25"/>
      <c r="R33" s="25"/>
      <c r="S33" s="25"/>
      <c r="T33" s="25"/>
      <c r="U33" s="25"/>
      <c r="V33" s="25"/>
    </row>
    <row r="34" spans="1:23" ht="12.75" customHeight="1" x14ac:dyDescent="0.25">
      <c r="B34" s="444"/>
      <c r="C34" s="445"/>
      <c r="D34" s="445"/>
      <c r="E34" s="446"/>
      <c r="G34" s="79">
        <v>0</v>
      </c>
      <c r="H34" s="262" t="str">
        <f t="shared" si="0"/>
        <v/>
      </c>
      <c r="I34" s="25"/>
      <c r="J34" s="25"/>
      <c r="K34" s="25"/>
      <c r="L34" s="25"/>
      <c r="M34" s="25"/>
      <c r="N34" s="25"/>
      <c r="O34" s="25"/>
      <c r="P34" s="25"/>
      <c r="Q34" s="25"/>
      <c r="R34" s="25"/>
      <c r="S34" s="25"/>
      <c r="T34" s="25"/>
      <c r="U34" s="25"/>
      <c r="V34" s="25"/>
    </row>
    <row r="35" spans="1:23" ht="12.75" customHeight="1" x14ac:dyDescent="0.25">
      <c r="B35" s="444"/>
      <c r="C35" s="445"/>
      <c r="D35" s="445"/>
      <c r="E35" s="446"/>
      <c r="G35" s="79">
        <v>0</v>
      </c>
      <c r="H35" s="262" t="str">
        <f t="shared" si="0"/>
        <v/>
      </c>
      <c r="I35" s="25"/>
      <c r="J35" s="25"/>
      <c r="K35" s="25"/>
      <c r="L35" s="25"/>
      <c r="M35" s="25"/>
      <c r="N35" s="25"/>
      <c r="O35" s="25"/>
      <c r="P35" s="25"/>
      <c r="Q35" s="25"/>
      <c r="R35" s="25"/>
      <c r="S35" s="25"/>
      <c r="T35" s="25"/>
      <c r="U35" s="25"/>
      <c r="V35" s="25"/>
    </row>
    <row r="36" spans="1:23" ht="12.75" customHeight="1" x14ac:dyDescent="0.25">
      <c r="B36" s="460"/>
      <c r="C36" s="461"/>
      <c r="D36" s="461"/>
      <c r="E36" s="462"/>
      <c r="G36" s="79">
        <v>0</v>
      </c>
      <c r="H36" s="262" t="str">
        <f t="shared" si="0"/>
        <v/>
      </c>
      <c r="I36" s="25"/>
      <c r="J36" s="25"/>
      <c r="K36" s="25"/>
      <c r="L36" s="25"/>
      <c r="M36" s="25"/>
      <c r="N36" s="25"/>
      <c r="O36" s="25"/>
      <c r="P36" s="25"/>
      <c r="Q36" s="25"/>
      <c r="R36" s="25"/>
      <c r="S36" s="25"/>
      <c r="T36" s="25"/>
      <c r="U36" s="25"/>
      <c r="V36" s="25"/>
    </row>
    <row r="37" spans="1:23" ht="12.75" customHeight="1" x14ac:dyDescent="0.25">
      <c r="A37" s="7"/>
      <c r="B37" s="463"/>
      <c r="C37" s="464"/>
      <c r="D37" s="464"/>
      <c r="E37" s="465"/>
      <c r="G37" s="80">
        <v>0</v>
      </c>
      <c r="H37" s="262" t="str">
        <f t="shared" si="0"/>
        <v/>
      </c>
      <c r="I37" s="25"/>
      <c r="J37" s="25"/>
      <c r="K37" s="25"/>
      <c r="L37" s="25"/>
      <c r="M37" s="25"/>
      <c r="N37" s="25"/>
      <c r="O37" s="25"/>
      <c r="P37" s="25"/>
      <c r="Q37" s="25"/>
      <c r="R37" s="25"/>
      <c r="S37" s="25"/>
      <c r="T37" s="25"/>
      <c r="U37" s="25"/>
      <c r="V37" s="25"/>
    </row>
    <row r="38" spans="1:23" ht="12.75" customHeight="1" x14ac:dyDescent="0.25">
      <c r="A38" s="7" t="s">
        <v>387</v>
      </c>
      <c r="B38" s="263"/>
      <c r="C38" s="263"/>
      <c r="D38" s="263"/>
      <c r="E38" s="263"/>
      <c r="G38" s="31">
        <f>SUM(G30:G37)</f>
        <v>0</v>
      </c>
      <c r="H38" s="262" t="str">
        <f>IF(G38&gt;30000000,"Voeg eventueel een liquiditeitsbegroting toe (planning wanneer u welke bedragen in het project gaat inbrengen)","")</f>
        <v/>
      </c>
      <c r="I38" s="28"/>
      <c r="J38" s="28"/>
      <c r="K38" s="28"/>
      <c r="L38" s="28"/>
      <c r="M38" s="28"/>
      <c r="N38" s="28"/>
      <c r="O38" s="28"/>
      <c r="P38" s="28"/>
      <c r="Q38" s="28"/>
      <c r="R38" s="28"/>
      <c r="S38" s="28"/>
      <c r="T38" s="28"/>
      <c r="U38" s="28"/>
      <c r="V38" s="28"/>
    </row>
    <row r="39" spans="1:23" s="23" customFormat="1" ht="12.75" customHeight="1" x14ac:dyDescent="0.25">
      <c r="A39" s="7" t="s">
        <v>388</v>
      </c>
      <c r="B39" s="4"/>
      <c r="C39" s="4"/>
      <c r="D39" s="4"/>
      <c r="E39" s="8"/>
      <c r="G39" s="269">
        <f>'Proj.gegevens_invest.begroting'!G163</f>
        <v>0</v>
      </c>
      <c r="H39" s="262"/>
      <c r="I39" s="28"/>
      <c r="J39" s="28"/>
      <c r="K39" s="28"/>
      <c r="L39" s="28"/>
      <c r="M39" s="28"/>
      <c r="N39" s="28"/>
      <c r="O39" s="28"/>
      <c r="P39" s="28"/>
      <c r="Q39" s="28"/>
      <c r="R39" s="28"/>
      <c r="S39" s="28"/>
      <c r="T39" s="28"/>
      <c r="U39" s="28"/>
      <c r="V39" s="28"/>
      <c r="W39" s="28"/>
    </row>
    <row r="40" spans="1:23" ht="12.75" customHeight="1" x14ac:dyDescent="0.25">
      <c r="A40" s="7" t="s">
        <v>389</v>
      </c>
      <c r="B40" s="263"/>
      <c r="C40" s="263"/>
      <c r="D40" s="263"/>
      <c r="E40" s="263"/>
      <c r="G40" s="27">
        <f>G38-G39</f>
        <v>0</v>
      </c>
      <c r="H40" s="262"/>
      <c r="I40" s="28"/>
      <c r="J40" s="28"/>
      <c r="K40" s="28"/>
      <c r="L40" s="28"/>
      <c r="M40" s="28"/>
      <c r="N40" s="28"/>
      <c r="O40" s="28"/>
      <c r="P40" s="28"/>
      <c r="Q40" s="28"/>
      <c r="R40" s="28"/>
      <c r="S40" s="28"/>
      <c r="T40" s="28"/>
      <c r="U40" s="28"/>
      <c r="V40" s="28"/>
    </row>
    <row r="41" spans="1:23" ht="12.75" customHeight="1" x14ac:dyDescent="0.25"/>
    <row r="42" spans="1:23" ht="18" x14ac:dyDescent="0.25">
      <c r="A42" s="21" t="s">
        <v>24</v>
      </c>
    </row>
    <row r="43" spans="1:23" ht="12.75" customHeight="1" x14ac:dyDescent="0.25">
      <c r="A43" s="7" t="str">
        <f>IF(Hulpblad_overig!B8=2,"Eigen vermogen (€)","Niet van toepassing")</f>
        <v>Niet van toepassing</v>
      </c>
      <c r="G43" s="264">
        <f>IF(Hulpblad_overig!B8=2,G40*E13,0)</f>
        <v>0</v>
      </c>
    </row>
    <row r="44" spans="1:23" ht="12.75" customHeight="1" x14ac:dyDescent="0.25">
      <c r="A44" s="7" t="str">
        <f>IF(Hulpblad_overig!B8=2,"Rentedragende financiering (€)","Niet van toepassing")</f>
        <v>Niet van toepassing</v>
      </c>
      <c r="G44" s="265">
        <f>IF(Hulpblad_overig!B8=2,G40-G43-G52,0)</f>
        <v>0</v>
      </c>
    </row>
    <row r="45" spans="1:23" x14ac:dyDescent="0.25">
      <c r="A45" s="7"/>
    </row>
    <row r="46" spans="1:23" s="23" customFormat="1" ht="12.75" x14ac:dyDescent="0.2">
      <c r="G46" s="27"/>
      <c r="H46" s="28"/>
      <c r="I46" s="28"/>
      <c r="J46" s="28"/>
      <c r="K46" s="28"/>
      <c r="L46" s="28"/>
      <c r="M46" s="28"/>
      <c r="N46" s="28"/>
      <c r="O46" s="28"/>
      <c r="P46" s="28"/>
      <c r="Q46" s="28"/>
      <c r="R46" s="28"/>
      <c r="S46" s="28"/>
      <c r="T46" s="28"/>
      <c r="U46" s="28"/>
      <c r="V46" s="28"/>
      <c r="W46" s="28"/>
    </row>
    <row r="47" spans="1:23" s="23" customFormat="1" ht="18" x14ac:dyDescent="0.25">
      <c r="A47" s="466" t="str">
        <f>IF(Hulpblad_overig!B8=2,"U maakt gebruik van balansfinanciering, u kunt regels 48 t/m 98 overslaan","Invulblok voor projectfinanciering")</f>
        <v>Invulblok voor projectfinanciering</v>
      </c>
      <c r="B47" s="466"/>
      <c r="C47" s="467"/>
      <c r="D47" s="467"/>
      <c r="E47" s="467"/>
      <c r="G47" s="27"/>
      <c r="H47" s="28"/>
      <c r="I47" s="28"/>
      <c r="J47" s="28"/>
      <c r="K47" s="28"/>
      <c r="L47" s="28"/>
      <c r="M47" s="28"/>
      <c r="N47" s="28"/>
      <c r="O47" s="28"/>
      <c r="P47" s="28"/>
      <c r="Q47" s="28"/>
      <c r="R47" s="28"/>
      <c r="S47" s="28"/>
      <c r="T47" s="28"/>
      <c r="U47" s="28"/>
      <c r="V47" s="28"/>
      <c r="W47" s="28"/>
    </row>
    <row r="48" spans="1:23" s="23" customFormat="1" ht="18" x14ac:dyDescent="0.25">
      <c r="A48" s="21"/>
      <c r="B48" s="4"/>
      <c r="C48" s="4"/>
      <c r="D48" s="4"/>
      <c r="E48" s="4"/>
      <c r="G48" s="27"/>
      <c r="H48" s="28"/>
      <c r="I48" s="28"/>
      <c r="J48" s="28"/>
      <c r="K48" s="28"/>
      <c r="L48" s="28"/>
      <c r="M48" s="28"/>
      <c r="N48" s="28"/>
      <c r="O48" s="28"/>
      <c r="P48" s="28"/>
      <c r="Q48" s="28"/>
      <c r="R48" s="28"/>
      <c r="S48" s="28"/>
      <c r="T48" s="28"/>
      <c r="U48" s="28"/>
      <c r="V48" s="28"/>
      <c r="W48" s="28"/>
    </row>
    <row r="49" spans="1:23" s="23" customFormat="1" x14ac:dyDescent="0.25">
      <c r="A49" s="266" t="str">
        <f>IF(Hulpblad_overig!B8=1,"Eigen vermogen over netto investering","Niet van toepassing")</f>
        <v>Eigen vermogen over netto investering</v>
      </c>
      <c r="B49" s="4"/>
      <c r="C49" s="4"/>
      <c r="D49" s="4"/>
      <c r="E49" s="4"/>
      <c r="G49" s="27"/>
      <c r="H49" s="28"/>
      <c r="I49" s="28"/>
      <c r="J49" s="28"/>
      <c r="K49" s="28"/>
      <c r="L49" s="28"/>
      <c r="M49" s="28"/>
      <c r="N49" s="28"/>
      <c r="O49" s="28"/>
      <c r="P49" s="28"/>
      <c r="Q49" s="28"/>
      <c r="R49" s="28"/>
      <c r="S49" s="28"/>
      <c r="T49" s="28"/>
      <c r="U49" s="28"/>
      <c r="V49" s="28"/>
      <c r="W49" s="28"/>
    </row>
    <row r="50" spans="1:23" s="23" customFormat="1" ht="12.75" customHeight="1" x14ac:dyDescent="0.25">
      <c r="A50" s="7" t="str">
        <f>IF(Hulpblad_overig!B8=1,"Inbreng van eigen vermogen van de aanvrager zelf (€)","Niet van toepassing")</f>
        <v>Inbreng van eigen vermogen van de aanvrager zelf (€)</v>
      </c>
      <c r="B50" s="4"/>
      <c r="C50" s="4"/>
      <c r="D50" s="4"/>
      <c r="E50" s="8"/>
      <c r="G50" s="88">
        <v>0</v>
      </c>
      <c r="H50" s="262"/>
      <c r="I50" s="28"/>
      <c r="J50" s="28"/>
      <c r="K50" s="28"/>
      <c r="L50" s="28"/>
      <c r="M50" s="28"/>
      <c r="N50" s="28"/>
      <c r="O50" s="28"/>
      <c r="P50" s="28"/>
      <c r="Q50" s="28"/>
      <c r="R50" s="28"/>
      <c r="S50" s="28"/>
      <c r="T50" s="28"/>
      <c r="U50" s="28"/>
      <c r="V50" s="28"/>
      <c r="W50" s="28"/>
    </row>
    <row r="52" spans="1:23" s="23" customFormat="1" ht="12.75" customHeight="1" x14ac:dyDescent="0.25">
      <c r="A52" s="7" t="s">
        <v>296</v>
      </c>
      <c r="B52" s="4"/>
      <c r="C52" s="4"/>
      <c r="D52" s="4"/>
      <c r="E52" s="8"/>
      <c r="G52" s="273">
        <f>'Proj.gegevens_invest.begroting'!G158+'Proj.gegevens_invest.begroting'!G159</f>
        <v>0</v>
      </c>
      <c r="H52" s="262" t="str">
        <f>IF(G52&gt;0,"Voeg de subsidiebeschikking(en) toe","")</f>
        <v/>
      </c>
      <c r="I52" s="28"/>
      <c r="J52" s="28"/>
      <c r="K52" s="28"/>
      <c r="L52" s="28"/>
      <c r="M52" s="28"/>
      <c r="N52" s="28"/>
      <c r="O52" s="28"/>
      <c r="P52" s="28"/>
      <c r="Q52" s="28"/>
      <c r="R52" s="28"/>
      <c r="S52" s="28"/>
      <c r="T52" s="28"/>
      <c r="U52" s="28"/>
      <c r="V52" s="28"/>
      <c r="W52" s="28"/>
    </row>
    <row r="53" spans="1:23" s="23" customFormat="1" ht="12.75" customHeight="1" x14ac:dyDescent="0.2">
      <c r="A53" s="7"/>
      <c r="B53" s="267"/>
      <c r="C53" s="268"/>
      <c r="D53" s="268"/>
      <c r="E53" s="268"/>
      <c r="G53" s="269"/>
      <c r="H53" s="10"/>
      <c r="I53" s="28"/>
      <c r="J53" s="28"/>
      <c r="K53" s="28"/>
      <c r="L53" s="28"/>
      <c r="M53" s="28"/>
      <c r="N53" s="28"/>
      <c r="O53" s="28"/>
      <c r="P53" s="28"/>
      <c r="Q53" s="28"/>
      <c r="R53" s="28"/>
      <c r="S53" s="28"/>
      <c r="T53" s="28"/>
      <c r="U53" s="28"/>
      <c r="V53" s="28"/>
      <c r="W53" s="28"/>
    </row>
    <row r="54" spans="1:23" s="23" customFormat="1" ht="12.75" customHeight="1" x14ac:dyDescent="0.2">
      <c r="A54" s="7" t="str">
        <f>IF(Hulpblad_overig!B8=1,"Inbreng vermogen middels crowdfunding of participaties (€) (indien van toepassing)","Niet van toepassing")</f>
        <v>Inbreng vermogen middels crowdfunding of participaties (€) (indien van toepassing)</v>
      </c>
      <c r="B54" s="267"/>
      <c r="C54" s="268"/>
      <c r="D54" s="268"/>
      <c r="E54" s="268"/>
      <c r="G54" s="95">
        <v>0</v>
      </c>
      <c r="H54" s="255" t="str">
        <f>IF(G54&gt;0,"Voeg bijlage toe met een beschrijving of prospectus voor het crowdfunding- of participatieproject waaruit blijkt dat u dit vermogen kunt inbrengen","")</f>
        <v/>
      </c>
      <c r="I54" s="28"/>
      <c r="J54" s="28"/>
      <c r="K54" s="28"/>
      <c r="L54" s="28"/>
      <c r="M54" s="28"/>
      <c r="N54" s="28"/>
      <c r="O54" s="28"/>
      <c r="P54" s="28"/>
      <c r="Q54" s="28"/>
      <c r="R54" s="28"/>
      <c r="S54" s="28"/>
      <c r="T54" s="28"/>
      <c r="U54" s="28"/>
      <c r="V54" s="28"/>
      <c r="W54" s="28"/>
    </row>
    <row r="55" spans="1:23" s="23" customFormat="1" ht="12.75" customHeight="1" x14ac:dyDescent="0.2">
      <c r="A55" s="7"/>
      <c r="B55" s="267"/>
      <c r="C55" s="268"/>
      <c r="D55" s="268"/>
      <c r="E55" s="268"/>
      <c r="G55" s="269"/>
      <c r="H55" s="270"/>
      <c r="I55" s="28"/>
      <c r="J55" s="28"/>
      <c r="K55" s="28"/>
      <c r="L55" s="28"/>
      <c r="M55" s="28"/>
      <c r="N55" s="28"/>
      <c r="O55" s="28"/>
      <c r="P55" s="28"/>
      <c r="Q55" s="28"/>
      <c r="R55" s="28"/>
      <c r="S55" s="28"/>
      <c r="T55" s="28"/>
      <c r="U55" s="28"/>
      <c r="V55" s="28"/>
      <c r="W55" s="28"/>
    </row>
    <row r="56" spans="1:23" s="23" customFormat="1" ht="12.75" customHeight="1" x14ac:dyDescent="0.2">
      <c r="A56" s="7" t="str">
        <f>IF(Hulpblad_overig!B8=1,"Namen overige eigenvermogenverschaffers en inbreng (€) (indien van toepassing)","Niet van toepassing")</f>
        <v>Namen overige eigenvermogenverschaffers en inbreng (€) (indien van toepassing)</v>
      </c>
      <c r="B56" s="268"/>
      <c r="C56" s="268"/>
      <c r="D56" s="268"/>
      <c r="E56" s="269"/>
      <c r="G56" s="27"/>
      <c r="H56" s="10"/>
      <c r="I56" s="28"/>
      <c r="J56" s="28"/>
      <c r="K56" s="28"/>
      <c r="L56" s="28"/>
      <c r="M56" s="28"/>
      <c r="N56" s="28"/>
      <c r="O56" s="28"/>
      <c r="P56" s="28"/>
      <c r="Q56" s="28"/>
      <c r="R56" s="28"/>
      <c r="S56" s="28"/>
      <c r="T56" s="28"/>
      <c r="U56" s="28"/>
      <c r="V56" s="28"/>
      <c r="W56" s="28"/>
    </row>
    <row r="57" spans="1:23" s="23" customFormat="1" ht="12.75" customHeight="1" x14ac:dyDescent="0.2">
      <c r="A57" s="7"/>
      <c r="B57" s="468"/>
      <c r="C57" s="469"/>
      <c r="D57" s="469"/>
      <c r="E57" s="470"/>
      <c r="F57" s="268"/>
      <c r="G57" s="78">
        <v>0</v>
      </c>
      <c r="H57" s="262" t="str">
        <f t="shared" ref="H57:H66" si="1">IF(G57&gt;0,"Voeg contract toe en eventueel jaarrekening of bedrijfsbalans van " &amp;B57&amp;"","")</f>
        <v/>
      </c>
      <c r="I57" s="28"/>
      <c r="J57" s="28"/>
      <c r="K57" s="28"/>
      <c r="L57" s="28"/>
      <c r="M57" s="28"/>
      <c r="N57" s="28"/>
      <c r="O57" s="28"/>
      <c r="P57" s="28"/>
      <c r="Q57" s="28"/>
      <c r="R57" s="28"/>
      <c r="S57" s="28"/>
      <c r="T57" s="28"/>
      <c r="U57" s="28"/>
      <c r="V57" s="28"/>
      <c r="W57" s="28"/>
    </row>
    <row r="58" spans="1:23" s="23" customFormat="1" ht="12.75" customHeight="1" x14ac:dyDescent="0.2">
      <c r="A58" s="7"/>
      <c r="B58" s="444"/>
      <c r="C58" s="445"/>
      <c r="D58" s="445"/>
      <c r="E58" s="446"/>
      <c r="F58" s="268"/>
      <c r="G58" s="6">
        <v>0</v>
      </c>
      <c r="H58" s="262" t="str">
        <f t="shared" si="1"/>
        <v/>
      </c>
      <c r="I58" s="28"/>
      <c r="J58" s="28"/>
      <c r="K58" s="28"/>
      <c r="L58" s="28"/>
      <c r="M58" s="28"/>
      <c r="N58" s="28"/>
      <c r="O58" s="28"/>
      <c r="P58" s="28"/>
      <c r="Q58" s="28"/>
      <c r="R58" s="28"/>
      <c r="S58" s="28"/>
      <c r="T58" s="28"/>
      <c r="U58" s="28"/>
      <c r="V58" s="28"/>
      <c r="W58" s="28"/>
    </row>
    <row r="59" spans="1:23" s="23" customFormat="1" ht="12.75" customHeight="1" x14ac:dyDescent="0.2">
      <c r="A59" s="7"/>
      <c r="B59" s="444"/>
      <c r="C59" s="445"/>
      <c r="D59" s="445"/>
      <c r="E59" s="446"/>
      <c r="F59" s="268"/>
      <c r="G59" s="6">
        <v>0</v>
      </c>
      <c r="H59" s="262" t="str">
        <f t="shared" si="1"/>
        <v/>
      </c>
      <c r="I59" s="28"/>
      <c r="J59" s="28"/>
      <c r="K59" s="28"/>
      <c r="L59" s="28"/>
      <c r="M59" s="28"/>
      <c r="N59" s="28"/>
      <c r="O59" s="28"/>
      <c r="P59" s="28"/>
      <c r="Q59" s="28"/>
      <c r="R59" s="28"/>
      <c r="S59" s="28"/>
      <c r="T59" s="28"/>
      <c r="U59" s="28"/>
      <c r="V59" s="28"/>
      <c r="W59" s="28"/>
    </row>
    <row r="60" spans="1:23" s="23" customFormat="1" ht="12.75" customHeight="1" x14ac:dyDescent="0.2">
      <c r="A60" s="7"/>
      <c r="B60" s="444"/>
      <c r="C60" s="445"/>
      <c r="D60" s="445"/>
      <c r="E60" s="446"/>
      <c r="F60" s="268"/>
      <c r="G60" s="6">
        <v>0</v>
      </c>
      <c r="H60" s="262" t="str">
        <f t="shared" si="1"/>
        <v/>
      </c>
      <c r="I60" s="28"/>
      <c r="J60" s="28"/>
      <c r="K60" s="28"/>
      <c r="L60" s="28"/>
      <c r="M60" s="28"/>
      <c r="N60" s="28"/>
      <c r="O60" s="28"/>
      <c r="P60" s="28"/>
      <c r="Q60" s="28"/>
      <c r="R60" s="28"/>
      <c r="S60" s="28"/>
      <c r="T60" s="28"/>
      <c r="U60" s="28"/>
      <c r="V60" s="28"/>
      <c r="W60" s="28"/>
    </row>
    <row r="61" spans="1:23" s="23" customFormat="1" ht="12.75" customHeight="1" x14ac:dyDescent="0.2">
      <c r="A61" s="7"/>
      <c r="B61" s="444"/>
      <c r="C61" s="445"/>
      <c r="D61" s="445"/>
      <c r="E61" s="446"/>
      <c r="F61" s="268"/>
      <c r="G61" s="6">
        <v>0</v>
      </c>
      <c r="H61" s="262" t="str">
        <f t="shared" si="1"/>
        <v/>
      </c>
      <c r="I61" s="28"/>
      <c r="J61" s="28"/>
      <c r="K61" s="28"/>
      <c r="L61" s="28"/>
      <c r="M61" s="28"/>
      <c r="N61" s="28"/>
      <c r="O61" s="28"/>
      <c r="P61" s="28"/>
      <c r="Q61" s="28"/>
      <c r="R61" s="28"/>
      <c r="S61" s="28"/>
      <c r="T61" s="28"/>
      <c r="U61" s="28"/>
      <c r="V61" s="28"/>
      <c r="W61" s="28"/>
    </row>
    <row r="62" spans="1:23" s="23" customFormat="1" ht="12.75" customHeight="1" x14ac:dyDescent="0.2">
      <c r="A62" s="7"/>
      <c r="B62" s="444"/>
      <c r="C62" s="471"/>
      <c r="D62" s="471"/>
      <c r="E62" s="472"/>
      <c r="F62" s="268"/>
      <c r="G62" s="79">
        <v>0</v>
      </c>
      <c r="H62" s="262" t="str">
        <f t="shared" si="1"/>
        <v/>
      </c>
      <c r="I62" s="28"/>
      <c r="J62" s="28"/>
      <c r="K62" s="28"/>
      <c r="L62" s="28"/>
      <c r="M62" s="28"/>
      <c r="N62" s="28"/>
      <c r="O62" s="28"/>
      <c r="P62" s="28"/>
      <c r="Q62" s="28"/>
      <c r="R62" s="28"/>
      <c r="S62" s="28"/>
      <c r="T62" s="28"/>
      <c r="U62" s="28"/>
      <c r="V62" s="28"/>
      <c r="W62" s="28"/>
    </row>
    <row r="63" spans="1:23" s="23" customFormat="1" ht="12.75" customHeight="1" x14ac:dyDescent="0.2">
      <c r="A63" s="7"/>
      <c r="B63" s="444"/>
      <c r="C63" s="471"/>
      <c r="D63" s="471"/>
      <c r="E63" s="472"/>
      <c r="F63" s="268"/>
      <c r="G63" s="79">
        <v>0</v>
      </c>
      <c r="H63" s="262" t="str">
        <f t="shared" si="1"/>
        <v/>
      </c>
      <c r="I63" s="28"/>
      <c r="J63" s="28"/>
      <c r="K63" s="28"/>
      <c r="L63" s="28"/>
      <c r="M63" s="28"/>
      <c r="N63" s="28"/>
      <c r="O63" s="28"/>
      <c r="P63" s="28"/>
      <c r="Q63" s="28"/>
      <c r="R63" s="28"/>
      <c r="S63" s="28"/>
      <c r="T63" s="28"/>
      <c r="U63" s="28"/>
      <c r="V63" s="28"/>
      <c r="W63" s="28"/>
    </row>
    <row r="64" spans="1:23" s="23" customFormat="1" ht="12.75" customHeight="1" x14ac:dyDescent="0.2">
      <c r="A64" s="7"/>
      <c r="B64" s="444"/>
      <c r="C64" s="471"/>
      <c r="D64" s="471"/>
      <c r="E64" s="472"/>
      <c r="F64" s="268"/>
      <c r="G64" s="79">
        <v>0</v>
      </c>
      <c r="H64" s="262" t="str">
        <f t="shared" si="1"/>
        <v/>
      </c>
      <c r="I64" s="28"/>
      <c r="J64" s="28"/>
      <c r="K64" s="28"/>
      <c r="L64" s="28"/>
      <c r="M64" s="28"/>
      <c r="N64" s="28"/>
      <c r="O64" s="28"/>
      <c r="P64" s="28"/>
      <c r="Q64" s="28"/>
      <c r="R64" s="28"/>
      <c r="S64" s="28"/>
      <c r="T64" s="28"/>
      <c r="U64" s="28"/>
      <c r="V64" s="28"/>
      <c r="W64" s="28"/>
    </row>
    <row r="65" spans="1:23" s="23" customFormat="1" ht="12.75" customHeight="1" x14ac:dyDescent="0.2">
      <c r="A65" s="7"/>
      <c r="B65" s="444"/>
      <c r="C65" s="471"/>
      <c r="D65" s="471"/>
      <c r="E65" s="472"/>
      <c r="F65" s="268"/>
      <c r="G65" s="79">
        <v>0</v>
      </c>
      <c r="H65" s="262" t="str">
        <f t="shared" si="1"/>
        <v/>
      </c>
      <c r="I65" s="28"/>
      <c r="J65" s="28"/>
      <c r="K65" s="28"/>
      <c r="L65" s="28"/>
      <c r="M65" s="28"/>
      <c r="N65" s="28"/>
      <c r="O65" s="28"/>
      <c r="P65" s="28"/>
      <c r="Q65" s="28"/>
      <c r="R65" s="28"/>
      <c r="S65" s="28"/>
      <c r="T65" s="28"/>
      <c r="U65" s="28"/>
      <c r="V65" s="28"/>
      <c r="W65" s="28"/>
    </row>
    <row r="66" spans="1:23" s="23" customFormat="1" ht="12.75" customHeight="1" x14ac:dyDescent="0.2">
      <c r="A66" s="7"/>
      <c r="B66" s="473"/>
      <c r="C66" s="474"/>
      <c r="D66" s="474"/>
      <c r="E66" s="475"/>
      <c r="F66" s="268"/>
      <c r="G66" s="80">
        <v>0</v>
      </c>
      <c r="H66" s="262" t="str">
        <f t="shared" si="1"/>
        <v/>
      </c>
      <c r="I66" s="28"/>
      <c r="J66" s="28"/>
      <c r="K66" s="28"/>
      <c r="L66" s="28"/>
      <c r="M66" s="28"/>
      <c r="N66" s="28"/>
      <c r="O66" s="28"/>
      <c r="P66" s="28"/>
      <c r="Q66" s="28"/>
      <c r="R66" s="28"/>
      <c r="S66" s="28"/>
      <c r="T66" s="28"/>
      <c r="U66" s="28"/>
      <c r="V66" s="28"/>
      <c r="W66" s="28"/>
    </row>
    <row r="67" spans="1:23" s="23" customFormat="1" ht="12.75" customHeight="1" x14ac:dyDescent="0.2">
      <c r="A67" s="7" t="str">
        <f>IF(Hulpblad_overig!B8=1,"Namen verschaffers achtergestelde leningen en hoogte lening (€)","Niet van toepassing")</f>
        <v>Namen verschaffers achtergestelde leningen en hoogte lening (€)</v>
      </c>
      <c r="B67" s="7"/>
      <c r="C67" s="268"/>
      <c r="D67" s="268"/>
      <c r="E67" s="268"/>
      <c r="F67" s="268"/>
      <c r="G67" s="269"/>
      <c r="H67" s="10"/>
      <c r="I67" s="28"/>
      <c r="J67" s="28"/>
      <c r="K67" s="28"/>
      <c r="L67" s="28"/>
      <c r="M67" s="28"/>
      <c r="N67" s="28"/>
      <c r="O67" s="28"/>
      <c r="P67" s="28"/>
      <c r="Q67" s="28"/>
      <c r="R67" s="28"/>
      <c r="S67" s="28"/>
      <c r="T67" s="28"/>
      <c r="U67" s="28"/>
      <c r="V67" s="28"/>
      <c r="W67" s="28"/>
    </row>
    <row r="68" spans="1:23" s="23" customFormat="1" ht="12.75" customHeight="1" x14ac:dyDescent="0.2">
      <c r="A68" s="7"/>
      <c r="B68" s="468"/>
      <c r="C68" s="476"/>
      <c r="D68" s="476"/>
      <c r="E68" s="477"/>
      <c r="F68" s="268"/>
      <c r="G68" s="78">
        <v>0</v>
      </c>
      <c r="H68" s="262" t="str">
        <f>IF(G68&gt;0,"Voeg contract achtergestelde lening toe van " &amp;B68&amp;"","")</f>
        <v/>
      </c>
      <c r="I68" s="28"/>
      <c r="J68" s="28"/>
      <c r="K68" s="28"/>
      <c r="L68" s="28"/>
      <c r="M68" s="28"/>
      <c r="N68" s="28"/>
      <c r="O68" s="28"/>
      <c r="P68" s="28"/>
      <c r="Q68" s="28"/>
      <c r="R68" s="28"/>
      <c r="S68" s="28"/>
      <c r="T68" s="28"/>
      <c r="U68" s="28"/>
      <c r="V68" s="28"/>
      <c r="W68" s="28"/>
    </row>
    <row r="69" spans="1:23" s="23" customFormat="1" ht="12.75" customHeight="1" x14ac:dyDescent="0.2">
      <c r="A69" s="7"/>
      <c r="B69" s="444"/>
      <c r="C69" s="471"/>
      <c r="D69" s="471"/>
      <c r="E69" s="472"/>
      <c r="F69" s="268"/>
      <c r="G69" s="79">
        <v>0</v>
      </c>
      <c r="H69" s="262" t="str">
        <f>IF(G69&gt;0,"Voeg contract achtergestelde lening toe van " &amp;B69&amp;"","")</f>
        <v/>
      </c>
      <c r="I69" s="28"/>
      <c r="J69" s="28"/>
      <c r="K69" s="28"/>
      <c r="L69" s="28"/>
      <c r="M69" s="28"/>
      <c r="N69" s="28"/>
      <c r="O69" s="28"/>
      <c r="P69" s="28"/>
      <c r="Q69" s="28"/>
      <c r="R69" s="28"/>
      <c r="S69" s="28"/>
      <c r="T69" s="28"/>
      <c r="U69" s="28"/>
      <c r="V69" s="28"/>
      <c r="W69" s="28"/>
    </row>
    <row r="70" spans="1:23" s="23" customFormat="1" ht="12.75" customHeight="1" x14ac:dyDescent="0.2">
      <c r="A70" s="7"/>
      <c r="B70" s="444"/>
      <c r="C70" s="471"/>
      <c r="D70" s="471"/>
      <c r="E70" s="472"/>
      <c r="F70" s="268"/>
      <c r="G70" s="79">
        <v>0</v>
      </c>
      <c r="H70" s="262" t="str">
        <f>IF(G70&gt;0,"Voeg contract achtergestelde lening toe van " &amp;B70&amp;"","")</f>
        <v/>
      </c>
      <c r="I70" s="28"/>
      <c r="J70" s="28"/>
      <c r="K70" s="28"/>
      <c r="L70" s="28"/>
      <c r="M70" s="28"/>
      <c r="N70" s="28"/>
      <c r="O70" s="28"/>
      <c r="P70" s="28"/>
      <c r="Q70" s="28"/>
      <c r="R70" s="28"/>
      <c r="S70" s="28"/>
      <c r="T70" s="28"/>
      <c r="U70" s="28"/>
      <c r="V70" s="28"/>
      <c r="W70" s="28"/>
    </row>
    <row r="71" spans="1:23" s="23" customFormat="1" ht="12.75" customHeight="1" x14ac:dyDescent="0.2">
      <c r="A71" s="7"/>
      <c r="B71" s="444"/>
      <c r="C71" s="471"/>
      <c r="D71" s="471"/>
      <c r="E71" s="472"/>
      <c r="F71" s="268"/>
      <c r="G71" s="79">
        <v>0</v>
      </c>
      <c r="H71" s="262" t="str">
        <f>IF(G71&gt;0,"Voeg contract achtergestelde lening toe van " &amp;B71&amp;"","")</f>
        <v/>
      </c>
      <c r="I71" s="28"/>
      <c r="J71" s="28"/>
      <c r="K71" s="28"/>
      <c r="L71" s="28"/>
      <c r="M71" s="28"/>
      <c r="N71" s="28"/>
      <c r="O71" s="28"/>
      <c r="P71" s="28"/>
      <c r="Q71" s="28"/>
      <c r="R71" s="28"/>
      <c r="S71" s="28"/>
      <c r="T71" s="28"/>
      <c r="U71" s="28"/>
      <c r="V71" s="28"/>
      <c r="W71" s="28"/>
    </row>
    <row r="72" spans="1:23" s="23" customFormat="1" ht="12.75" customHeight="1" x14ac:dyDescent="0.2">
      <c r="A72" s="7"/>
      <c r="B72" s="473"/>
      <c r="C72" s="474"/>
      <c r="D72" s="474"/>
      <c r="E72" s="475"/>
      <c r="F72" s="268"/>
      <c r="G72" s="80">
        <v>0</v>
      </c>
      <c r="H72" s="262" t="str">
        <f>IF(G72&gt;0,"Voeg contract achtergestelde lening toe van " &amp;B72&amp;"","")</f>
        <v/>
      </c>
      <c r="I72" s="28"/>
      <c r="J72" s="28"/>
      <c r="K72" s="28"/>
      <c r="L72" s="28"/>
      <c r="M72" s="28"/>
      <c r="N72" s="28"/>
      <c r="O72" s="28"/>
      <c r="P72" s="28"/>
      <c r="Q72" s="28"/>
      <c r="R72" s="28"/>
      <c r="S72" s="28"/>
      <c r="T72" s="28"/>
      <c r="U72" s="28"/>
      <c r="V72" s="28"/>
      <c r="W72" s="28"/>
    </row>
    <row r="73" spans="1:23" s="23" customFormat="1" ht="12.75" customHeight="1" x14ac:dyDescent="0.2">
      <c r="A73" s="23" t="str">
        <f>IF(Hulpblad_overig!B8=1,"Totale inbreng van eigen vermogen (€)","Niet van toepassing")</f>
        <v>Totale inbreng van eigen vermogen (€)</v>
      </c>
      <c r="F73" s="268"/>
      <c r="G73" s="27">
        <f>G50+SUM(G52:G72)</f>
        <v>0</v>
      </c>
      <c r="H73" s="262"/>
      <c r="I73" s="28"/>
      <c r="J73" s="28"/>
      <c r="K73" s="28"/>
      <c r="L73" s="28"/>
      <c r="M73" s="28"/>
      <c r="N73" s="28"/>
      <c r="O73" s="28"/>
      <c r="P73" s="28"/>
      <c r="Q73" s="28"/>
      <c r="R73" s="28"/>
      <c r="S73" s="28"/>
      <c r="T73" s="28"/>
      <c r="U73" s="28"/>
      <c r="V73" s="28"/>
      <c r="W73" s="28"/>
    </row>
    <row r="74" spans="1:23" s="23" customFormat="1" ht="12.75" customHeight="1" x14ac:dyDescent="0.2">
      <c r="A74" s="7" t="str">
        <f>IF(Hulpblad_overig!B8=1,"Eigen vermogen in te brengen in dit project of projecten (%)","Niet van toepassing")</f>
        <v>Eigen vermogen in te brengen in dit project of projecten (%)</v>
      </c>
      <c r="B74" s="268"/>
      <c r="C74" s="268"/>
      <c r="D74" s="268"/>
      <c r="G74" s="271" t="e">
        <f>G73/G40</f>
        <v>#DIV/0!</v>
      </c>
      <c r="H74" s="262" t="e">
        <f>IF(AND(Hulpblad_overig!B8=1,G74&lt;20%),"U brengt minder dan 20% eigen vermogen in. Voeg intentieverklaringen toe van beoogde financiers voor het totaal benodigde vreemd vermogen","")</f>
        <v>#DIV/0!</v>
      </c>
      <c r="I74" s="28"/>
      <c r="J74" s="28"/>
      <c r="K74" s="28"/>
      <c r="L74" s="28"/>
      <c r="M74" s="28"/>
      <c r="N74" s="28"/>
      <c r="O74" s="28"/>
      <c r="P74" s="28"/>
      <c r="Q74" s="28"/>
      <c r="R74" s="28"/>
      <c r="S74" s="28"/>
      <c r="T74" s="28"/>
      <c r="U74" s="28"/>
      <c r="V74" s="28"/>
      <c r="W74" s="28"/>
    </row>
    <row r="75" spans="1:23" s="23" customFormat="1" ht="12.75" customHeight="1" x14ac:dyDescent="0.2">
      <c r="G75" s="27"/>
      <c r="H75" s="28"/>
      <c r="I75" s="28"/>
      <c r="J75" s="28"/>
      <c r="K75" s="28"/>
      <c r="L75" s="28"/>
      <c r="M75" s="28"/>
      <c r="N75" s="28"/>
      <c r="O75" s="28"/>
      <c r="P75" s="28"/>
      <c r="Q75" s="28"/>
      <c r="R75" s="28"/>
      <c r="S75" s="28"/>
      <c r="T75" s="28"/>
      <c r="U75" s="28"/>
      <c r="V75" s="28"/>
      <c r="W75" s="28"/>
    </row>
    <row r="76" spans="1:23" s="23" customFormat="1" ht="12.75" customHeight="1" x14ac:dyDescent="0.2">
      <c r="A76" s="23" t="str">
        <f>IF(Hulpblad_overig!B8=1,"Vreemd vermogen of lease","Niet van toepassing")</f>
        <v>Vreemd vermogen of lease</v>
      </c>
      <c r="G76" s="27"/>
      <c r="H76" s="28"/>
      <c r="I76" s="28"/>
      <c r="J76" s="28"/>
      <c r="K76" s="28"/>
      <c r="L76" s="28"/>
      <c r="M76" s="28"/>
      <c r="N76" s="28"/>
      <c r="O76" s="28"/>
      <c r="P76" s="28"/>
      <c r="Q76" s="28"/>
      <c r="R76" s="28"/>
      <c r="S76" s="28"/>
      <c r="T76" s="28"/>
      <c r="U76" s="28"/>
      <c r="V76" s="28"/>
      <c r="W76" s="28"/>
    </row>
    <row r="77" spans="1:23" s="268" customFormat="1" ht="12.75" customHeight="1" x14ac:dyDescent="0.2"/>
    <row r="78" spans="1:23" s="23" customFormat="1" ht="12.75" customHeight="1" x14ac:dyDescent="0.2">
      <c r="A78" s="7" t="str">
        <f>IF(Hulpblad_overig!B8=1,"Namen beoogde financiers (eventueel leasemaatschappij) en hoogte lening (€) (indien van toepassing)","Niet van toepassing")</f>
        <v>Namen beoogde financiers (eventueel leasemaatschappij) en hoogte lening (€) (indien van toepassing)</v>
      </c>
      <c r="B78" s="268"/>
      <c r="C78" s="268"/>
      <c r="D78" s="268"/>
      <c r="E78" s="269"/>
      <c r="G78" s="27"/>
      <c r="H78" s="28"/>
      <c r="I78" s="28"/>
      <c r="J78" s="28"/>
      <c r="K78" s="28"/>
      <c r="L78" s="28"/>
      <c r="M78" s="28"/>
      <c r="N78" s="28"/>
      <c r="O78" s="28"/>
      <c r="P78" s="28"/>
      <c r="Q78" s="28"/>
      <c r="R78" s="28"/>
      <c r="S78" s="28"/>
      <c r="T78" s="28"/>
      <c r="U78" s="28"/>
      <c r="V78" s="28"/>
      <c r="W78" s="28"/>
    </row>
    <row r="79" spans="1:23" s="23" customFormat="1" ht="12.75" customHeight="1" x14ac:dyDescent="0.2">
      <c r="A79" s="7"/>
      <c r="B79" s="468"/>
      <c r="C79" s="469"/>
      <c r="D79" s="469"/>
      <c r="E79" s="470"/>
      <c r="G79" s="78">
        <v>0</v>
      </c>
      <c r="H79" s="262" t="e">
        <f t="shared" ref="H79:H88" si="2">IF(AND(G79&gt;0,$G$74&gt;20%),
"Voeg eventueel contract, offerte of intentieverklaring toe van "&amp;B79&amp;"",
IF(AND($G$74&lt;20%,G79&gt;0),"Voeg contract, offerte of intentieverklaring toe van "&amp;B79&amp;"",""))</f>
        <v>#DIV/0!</v>
      </c>
      <c r="I79" s="28"/>
      <c r="J79" s="28"/>
      <c r="K79" s="28"/>
      <c r="L79" s="28"/>
      <c r="M79" s="28"/>
      <c r="N79" s="28"/>
      <c r="O79" s="28"/>
      <c r="P79" s="28"/>
      <c r="Q79" s="28"/>
      <c r="R79" s="28"/>
      <c r="S79" s="28"/>
      <c r="T79" s="28"/>
      <c r="U79" s="28"/>
      <c r="V79" s="28"/>
      <c r="W79" s="28"/>
    </row>
    <row r="80" spans="1:23" s="23" customFormat="1" ht="12.75" customHeight="1" x14ac:dyDescent="0.2">
      <c r="A80" s="7"/>
      <c r="B80" s="444"/>
      <c r="C80" s="445"/>
      <c r="D80" s="445"/>
      <c r="E80" s="446"/>
      <c r="G80" s="6">
        <v>0</v>
      </c>
      <c r="H80" s="262" t="e">
        <f t="shared" si="2"/>
        <v>#DIV/0!</v>
      </c>
      <c r="I80" s="28"/>
      <c r="J80" s="28"/>
      <c r="K80" s="28"/>
      <c r="L80" s="28"/>
      <c r="M80" s="28"/>
      <c r="N80" s="28"/>
      <c r="O80" s="28"/>
      <c r="P80" s="28"/>
      <c r="Q80" s="28"/>
      <c r="R80" s="28"/>
      <c r="S80" s="28"/>
      <c r="T80" s="28"/>
      <c r="U80" s="28"/>
      <c r="V80" s="28"/>
      <c r="W80" s="28"/>
    </row>
    <row r="81" spans="1:23" s="23" customFormat="1" ht="12.75" customHeight="1" x14ac:dyDescent="0.2">
      <c r="A81" s="7"/>
      <c r="B81" s="444"/>
      <c r="C81" s="445"/>
      <c r="D81" s="445"/>
      <c r="E81" s="446"/>
      <c r="G81" s="6">
        <v>0</v>
      </c>
      <c r="H81" s="262" t="e">
        <f t="shared" si="2"/>
        <v>#DIV/0!</v>
      </c>
      <c r="I81" s="28"/>
      <c r="J81" s="28"/>
      <c r="K81" s="28"/>
      <c r="L81" s="28"/>
      <c r="M81" s="28"/>
      <c r="N81" s="28"/>
      <c r="O81" s="28"/>
      <c r="P81" s="28"/>
      <c r="Q81" s="28"/>
      <c r="R81" s="28"/>
      <c r="S81" s="28"/>
      <c r="T81" s="28"/>
      <c r="U81" s="28"/>
      <c r="V81" s="28"/>
      <c r="W81" s="28"/>
    </row>
    <row r="82" spans="1:23" s="23" customFormat="1" ht="12.75" customHeight="1" x14ac:dyDescent="0.2">
      <c r="A82" s="7"/>
      <c r="B82" s="444"/>
      <c r="C82" s="445"/>
      <c r="D82" s="445"/>
      <c r="E82" s="446"/>
      <c r="G82" s="6">
        <v>0</v>
      </c>
      <c r="H82" s="262" t="e">
        <f t="shared" si="2"/>
        <v>#DIV/0!</v>
      </c>
      <c r="I82" s="28"/>
      <c r="J82" s="28"/>
      <c r="K82" s="28"/>
      <c r="L82" s="28"/>
      <c r="M82" s="28"/>
      <c r="N82" s="28"/>
      <c r="O82" s="28"/>
      <c r="P82" s="28"/>
      <c r="Q82" s="28"/>
      <c r="R82" s="28"/>
      <c r="S82" s="28"/>
      <c r="T82" s="28"/>
      <c r="U82" s="28"/>
      <c r="V82" s="28"/>
      <c r="W82" s="28"/>
    </row>
    <row r="83" spans="1:23" s="23" customFormat="1" ht="12.75" customHeight="1" x14ac:dyDescent="0.2">
      <c r="A83" s="7"/>
      <c r="B83" s="444"/>
      <c r="C83" s="445"/>
      <c r="D83" s="445"/>
      <c r="E83" s="446"/>
      <c r="G83" s="6">
        <v>0</v>
      </c>
      <c r="H83" s="262" t="e">
        <f t="shared" si="2"/>
        <v>#DIV/0!</v>
      </c>
      <c r="I83" s="28"/>
      <c r="J83" s="28"/>
      <c r="K83" s="28"/>
      <c r="L83" s="28"/>
      <c r="M83" s="28"/>
      <c r="N83" s="28"/>
      <c r="O83" s="28"/>
      <c r="P83" s="28"/>
      <c r="Q83" s="28"/>
      <c r="R83" s="28"/>
      <c r="S83" s="28"/>
      <c r="T83" s="28"/>
      <c r="U83" s="28"/>
      <c r="V83" s="28"/>
      <c r="W83" s="28"/>
    </row>
    <row r="84" spans="1:23" s="23" customFormat="1" ht="12.75" customHeight="1" x14ac:dyDescent="0.2">
      <c r="A84" s="7"/>
      <c r="B84" s="444"/>
      <c r="C84" s="471"/>
      <c r="D84" s="471"/>
      <c r="E84" s="472"/>
      <c r="G84" s="79">
        <v>0</v>
      </c>
      <c r="H84" s="262" t="e">
        <f t="shared" si="2"/>
        <v>#DIV/0!</v>
      </c>
      <c r="I84" s="28"/>
      <c r="J84" s="28"/>
      <c r="K84" s="28"/>
      <c r="L84" s="28"/>
      <c r="M84" s="28"/>
      <c r="N84" s="28"/>
      <c r="O84" s="28"/>
      <c r="P84" s="28"/>
      <c r="Q84" s="28"/>
      <c r="R84" s="28"/>
      <c r="S84" s="28"/>
      <c r="T84" s="28"/>
      <c r="U84" s="28"/>
      <c r="V84" s="28"/>
      <c r="W84" s="28"/>
    </row>
    <row r="85" spans="1:23" s="23" customFormat="1" ht="12.75" customHeight="1" x14ac:dyDescent="0.2">
      <c r="A85" s="7"/>
      <c r="B85" s="444"/>
      <c r="C85" s="471"/>
      <c r="D85" s="471"/>
      <c r="E85" s="472"/>
      <c r="G85" s="79">
        <v>0</v>
      </c>
      <c r="H85" s="262" t="e">
        <f t="shared" si="2"/>
        <v>#DIV/0!</v>
      </c>
      <c r="I85" s="28"/>
      <c r="J85" s="28"/>
      <c r="K85" s="28"/>
      <c r="L85" s="28"/>
      <c r="M85" s="28"/>
      <c r="N85" s="28"/>
      <c r="O85" s="28"/>
      <c r="P85" s="28"/>
      <c r="Q85" s="28"/>
      <c r="R85" s="28"/>
      <c r="S85" s="28"/>
      <c r="T85" s="28"/>
      <c r="U85" s="28"/>
      <c r="V85" s="28"/>
      <c r="W85" s="28"/>
    </row>
    <row r="86" spans="1:23" s="23" customFormat="1" ht="12.75" customHeight="1" x14ac:dyDescent="0.2">
      <c r="A86" s="7"/>
      <c r="B86" s="444"/>
      <c r="C86" s="471"/>
      <c r="D86" s="471"/>
      <c r="E86" s="472"/>
      <c r="G86" s="79">
        <v>0</v>
      </c>
      <c r="H86" s="262" t="e">
        <f t="shared" si="2"/>
        <v>#DIV/0!</v>
      </c>
      <c r="I86" s="28"/>
      <c r="J86" s="28"/>
      <c r="K86" s="28"/>
      <c r="L86" s="28"/>
      <c r="M86" s="28"/>
      <c r="N86" s="28"/>
      <c r="O86" s="28"/>
      <c r="P86" s="28"/>
      <c r="Q86" s="28"/>
      <c r="R86" s="28"/>
      <c r="S86" s="28"/>
      <c r="T86" s="28"/>
      <c r="U86" s="28"/>
      <c r="V86" s="28"/>
      <c r="W86" s="28"/>
    </row>
    <row r="87" spans="1:23" s="23" customFormat="1" ht="12.75" customHeight="1" x14ac:dyDescent="0.2">
      <c r="A87" s="7"/>
      <c r="B87" s="444"/>
      <c r="C87" s="471"/>
      <c r="D87" s="471"/>
      <c r="E87" s="472"/>
      <c r="G87" s="79">
        <v>0</v>
      </c>
      <c r="H87" s="262" t="e">
        <f t="shared" si="2"/>
        <v>#DIV/0!</v>
      </c>
      <c r="I87" s="28"/>
      <c r="J87" s="28"/>
      <c r="K87" s="28"/>
      <c r="L87" s="28"/>
      <c r="M87" s="28"/>
      <c r="N87" s="28"/>
      <c r="O87" s="28"/>
      <c r="P87" s="28"/>
      <c r="Q87" s="28"/>
      <c r="R87" s="28"/>
      <c r="S87" s="28"/>
      <c r="T87" s="28"/>
      <c r="U87" s="28"/>
      <c r="V87" s="28"/>
      <c r="W87" s="28"/>
    </row>
    <row r="88" spans="1:23" s="268" customFormat="1" ht="12.75" customHeight="1" x14ac:dyDescent="0.2">
      <c r="B88" s="473"/>
      <c r="C88" s="474"/>
      <c r="D88" s="474"/>
      <c r="E88" s="475"/>
      <c r="G88" s="80">
        <v>0</v>
      </c>
      <c r="H88" s="262" t="e">
        <f t="shared" si="2"/>
        <v>#DIV/0!</v>
      </c>
      <c r="I88" s="272"/>
      <c r="J88" s="272"/>
      <c r="K88" s="272"/>
      <c r="L88" s="272"/>
      <c r="M88" s="272"/>
      <c r="N88" s="272"/>
      <c r="O88" s="272"/>
      <c r="P88" s="272"/>
      <c r="Q88" s="272"/>
      <c r="R88" s="272"/>
      <c r="S88" s="272"/>
      <c r="T88" s="272"/>
      <c r="U88" s="272"/>
      <c r="V88" s="272"/>
    </row>
    <row r="89" spans="1:23" s="268" customFormat="1" ht="12.75" customHeight="1" x14ac:dyDescent="0.2">
      <c r="A89" s="23" t="str">
        <f>IF(Hulpblad_overig!B8=1,"Totaal van het gespecificeerde vreemd vermogen","Niet van toepassing")</f>
        <v>Totaal van het gespecificeerde vreemd vermogen</v>
      </c>
      <c r="G89" s="27">
        <f>SUM(G79:G88)</f>
        <v>0</v>
      </c>
      <c r="H89" s="262"/>
    </row>
    <row r="90" spans="1:23" s="268" customFormat="1" ht="12.75" customHeight="1" x14ac:dyDescent="0.2">
      <c r="A90" s="23" t="str">
        <f>IF(Hulpblad_overig!B8=1,"Ongespecificeerde rest van het vreemd vermogen","Niet van toepassing")</f>
        <v>Ongespecificeerde rest van het vreemd vermogen</v>
      </c>
      <c r="G90" s="27">
        <f>IF(Hulpblad_overig!B8=1,G40-G73-G89,0)</f>
        <v>0</v>
      </c>
      <c r="H90" s="262" t="e">
        <f>IF(Hulpblad_overig!B8=1,IF(AND(G90&gt;0,G74&lt;20%),"Ongespecificeerde rest moet nul zijn",""))</f>
        <v>#DIV/0!</v>
      </c>
    </row>
    <row r="91" spans="1:23" s="268" customFormat="1" ht="12.75" customHeight="1" x14ac:dyDescent="0.2">
      <c r="G91" s="27"/>
      <c r="H91" s="262"/>
    </row>
    <row r="92" spans="1:23" s="23" customFormat="1" ht="12.75" customHeight="1" x14ac:dyDescent="0.2">
      <c r="A92" s="7" t="str">
        <f>IF(Hulpblad_overig!B8=1,"Vreemd vermogen (%)","Niet van toepassing")</f>
        <v>Vreemd vermogen (%)</v>
      </c>
      <c r="B92" s="268"/>
      <c r="C92" s="268"/>
      <c r="D92" s="268"/>
      <c r="G92" s="371" t="e">
        <f>(G89+G90)/G40</f>
        <v>#DIV/0!</v>
      </c>
      <c r="H92" s="28"/>
      <c r="I92" s="28"/>
      <c r="J92" s="28"/>
      <c r="K92" s="28"/>
      <c r="L92" s="28"/>
      <c r="M92" s="28"/>
      <c r="N92" s="28"/>
      <c r="O92" s="28"/>
      <c r="P92" s="28"/>
      <c r="Q92" s="28"/>
      <c r="R92" s="28"/>
      <c r="S92" s="28"/>
      <c r="T92" s="28"/>
      <c r="U92" s="28"/>
      <c r="V92" s="28"/>
      <c r="W92" s="28"/>
    </row>
    <row r="93" spans="1:23" s="23" customFormat="1" ht="12.75" customHeight="1" x14ac:dyDescent="0.2">
      <c r="A93" s="7" t="str">
        <f>IF(Hulpblad_overig!B8=1,"Totaal vreemd vermogen (€)","Niet van toepassing")</f>
        <v>Totaal vreemd vermogen (€)</v>
      </c>
      <c r="B93" s="268"/>
      <c r="C93" s="268"/>
      <c r="D93" s="268"/>
      <c r="G93" s="269" t="e">
        <f>G40*G92</f>
        <v>#DIV/0!</v>
      </c>
      <c r="H93" s="28"/>
      <c r="I93" s="28"/>
      <c r="J93" s="28"/>
      <c r="K93" s="28"/>
      <c r="L93" s="28"/>
      <c r="M93" s="28"/>
      <c r="N93" s="28"/>
      <c r="O93" s="28"/>
      <c r="P93" s="28"/>
      <c r="Q93" s="28"/>
      <c r="R93" s="28"/>
      <c r="S93" s="28"/>
      <c r="T93" s="28"/>
      <c r="U93" s="28"/>
      <c r="V93" s="28"/>
      <c r="W93" s="28"/>
    </row>
    <row r="94" spans="1:23" s="268" customFormat="1" ht="12.75" customHeight="1" x14ac:dyDescent="0.2">
      <c r="G94" s="27"/>
      <c r="H94" s="262"/>
    </row>
    <row r="95" spans="1:23" s="268" customFormat="1" ht="12.75" customHeight="1" x14ac:dyDescent="0.2">
      <c r="A95" s="23" t="s">
        <v>25</v>
      </c>
    </row>
    <row r="96" spans="1:23" ht="137.25" customHeight="1" x14ac:dyDescent="0.25">
      <c r="A96" s="478"/>
      <c r="B96" s="479"/>
      <c r="C96" s="479"/>
      <c r="D96" s="479"/>
      <c r="E96" s="479"/>
      <c r="F96" s="480"/>
      <c r="G96" s="481"/>
    </row>
  </sheetData>
  <sheetProtection algorithmName="SHA-512" hashValue="LLr6P1W4OHnRsdSrhC00Mdqa3q1fhVHvnM6R/o2tW1FnsHx8rYXmgXdNTr4ZngbDH/7UIK2X1Jy6eyH8HnCHmw==" saltValue="7SyHdjuwLBNi655bAP2W0Q==" spinCount="100000" sheet="1" objects="1" scenarios="1"/>
  <mergeCells count="38">
    <mergeCell ref="A96:G96"/>
    <mergeCell ref="B72:E72"/>
    <mergeCell ref="B79:E79"/>
    <mergeCell ref="B80:E80"/>
    <mergeCell ref="B81:E81"/>
    <mergeCell ref="B82:E82"/>
    <mergeCell ref="B83:E83"/>
    <mergeCell ref="B84:E84"/>
    <mergeCell ref="B85:E85"/>
    <mergeCell ref="B86:E86"/>
    <mergeCell ref="B87:E87"/>
    <mergeCell ref="B88:E88"/>
    <mergeCell ref="B71:E71"/>
    <mergeCell ref="B59:E59"/>
    <mergeCell ref="B60:E60"/>
    <mergeCell ref="B61:E61"/>
    <mergeCell ref="B62:E62"/>
    <mergeCell ref="B63:E63"/>
    <mergeCell ref="B64:E64"/>
    <mergeCell ref="B65:E65"/>
    <mergeCell ref="B66:E66"/>
    <mergeCell ref="B68:E68"/>
    <mergeCell ref="B69:E69"/>
    <mergeCell ref="B70:E70"/>
    <mergeCell ref="B58:E58"/>
    <mergeCell ref="B33:E33"/>
    <mergeCell ref="B34:E34"/>
    <mergeCell ref="B35:E35"/>
    <mergeCell ref="B36:E36"/>
    <mergeCell ref="B37:E37"/>
    <mergeCell ref="A47:E47"/>
    <mergeCell ref="B57:E57"/>
    <mergeCell ref="B32:E32"/>
    <mergeCell ref="B7:E7"/>
    <mergeCell ref="B22:G22"/>
    <mergeCell ref="B25:G25"/>
    <mergeCell ref="B30:E30"/>
    <mergeCell ref="B31:E31"/>
  </mergeCells>
  <conditionalFormatting sqref="B57:E57">
    <cfRule type="expression" dxfId="205" priority="62" stopIfTrue="1">
      <formula>A10="U maakt gebruik van balansfinanciering"</formula>
    </cfRule>
  </conditionalFormatting>
  <conditionalFormatting sqref="B58:E58">
    <cfRule type="expression" dxfId="204" priority="59" stopIfTrue="1">
      <formula>A10="U maakt gebruik van balansfinanciering"</formula>
    </cfRule>
  </conditionalFormatting>
  <conditionalFormatting sqref="B59:E59">
    <cfRule type="expression" dxfId="203" priority="58" stopIfTrue="1">
      <formula>A10="U maakt gebruik van balansfinanciering"</formula>
    </cfRule>
  </conditionalFormatting>
  <conditionalFormatting sqref="B60:E60">
    <cfRule type="expression" dxfId="202" priority="57" stopIfTrue="1">
      <formula>A10="U maakt gebruik van balansfinanciering"</formula>
    </cfRule>
  </conditionalFormatting>
  <conditionalFormatting sqref="B61:E61">
    <cfRule type="expression" dxfId="201" priority="56" stopIfTrue="1">
      <formula>A10="U maakt gebruik van balansfinanciering"</formula>
    </cfRule>
  </conditionalFormatting>
  <conditionalFormatting sqref="B62:E62">
    <cfRule type="expression" dxfId="200" priority="55" stopIfTrue="1">
      <formula>A10="U maakt gebruik van balansfinanciering"</formula>
    </cfRule>
  </conditionalFormatting>
  <conditionalFormatting sqref="B63:E63">
    <cfRule type="expression" dxfId="199" priority="54" stopIfTrue="1">
      <formula>A10="U maakt gebruik van balansfinanciering"</formula>
    </cfRule>
  </conditionalFormatting>
  <conditionalFormatting sqref="B64:E64">
    <cfRule type="expression" dxfId="198" priority="53" stopIfTrue="1">
      <formula>A10="U maakt gebruik van balansfinanciering"</formula>
    </cfRule>
  </conditionalFormatting>
  <conditionalFormatting sqref="B65:E65">
    <cfRule type="expression" dxfId="197" priority="52" stopIfTrue="1">
      <formula>A10="U maakt gebruik van balansfinanciering"</formula>
    </cfRule>
  </conditionalFormatting>
  <conditionalFormatting sqref="B66:E66">
    <cfRule type="expression" dxfId="196" priority="51" stopIfTrue="1">
      <formula>A10="U maakt gebruik van balansfinanciering"</formula>
    </cfRule>
  </conditionalFormatting>
  <conditionalFormatting sqref="B68:E68">
    <cfRule type="expression" dxfId="195" priority="40" stopIfTrue="1">
      <formula>A10="U maakt gebruik van balansfinanciering"</formula>
    </cfRule>
  </conditionalFormatting>
  <conditionalFormatting sqref="B69:E69">
    <cfRule type="expression" dxfId="194" priority="39" stopIfTrue="1">
      <formula>A10="U maakt gebruik van balansfinanciering"</formula>
    </cfRule>
  </conditionalFormatting>
  <conditionalFormatting sqref="B70:E70">
    <cfRule type="expression" dxfId="193" priority="38" stopIfTrue="1">
      <formula>A10="U maakt gebruik van balansfinanciering"</formula>
    </cfRule>
  </conditionalFormatting>
  <conditionalFormatting sqref="B71:E71">
    <cfRule type="expression" dxfId="192" priority="37" stopIfTrue="1">
      <formula>A10="U maakt gebruik van balansfinanciering"</formula>
    </cfRule>
  </conditionalFormatting>
  <conditionalFormatting sqref="B72:E72">
    <cfRule type="expression" dxfId="191" priority="36" stopIfTrue="1">
      <formula>A10="U maakt gebruik van balansfinanciering"</formula>
    </cfRule>
  </conditionalFormatting>
  <conditionalFormatting sqref="B79:E79">
    <cfRule type="expression" dxfId="190" priority="29" stopIfTrue="1">
      <formula>A10="U maakt gebruik van balansfinanciering"</formula>
    </cfRule>
  </conditionalFormatting>
  <conditionalFormatting sqref="B80:E80">
    <cfRule type="expression" dxfId="189" priority="28" stopIfTrue="1">
      <formula>A10="U maakt gebruik van balansfinanciering"</formula>
    </cfRule>
  </conditionalFormatting>
  <conditionalFormatting sqref="B81:E81">
    <cfRule type="expression" dxfId="188" priority="27" stopIfTrue="1">
      <formula>A10="U maakt gebruik van balansfinanciering"</formula>
    </cfRule>
  </conditionalFormatting>
  <conditionalFormatting sqref="B82:E82">
    <cfRule type="expression" dxfId="187" priority="26" stopIfTrue="1">
      <formula>A10="U maakt gebruik van balansfinanciering"</formula>
    </cfRule>
  </conditionalFormatting>
  <conditionalFormatting sqref="B83:E83">
    <cfRule type="expression" dxfId="186" priority="25" stopIfTrue="1">
      <formula>A10="U maakt gebruik van balansfinanciering"</formula>
    </cfRule>
  </conditionalFormatting>
  <conditionalFormatting sqref="B84:E84">
    <cfRule type="expression" dxfId="185" priority="24" stopIfTrue="1">
      <formula>A10="U maakt gebruik van balansfinanciering"</formula>
    </cfRule>
  </conditionalFormatting>
  <conditionalFormatting sqref="B85:E85">
    <cfRule type="expression" dxfId="184" priority="23" stopIfTrue="1">
      <formula>A10="U maakt gebruik van balansfinanciering"</formula>
    </cfRule>
  </conditionalFormatting>
  <conditionalFormatting sqref="B86:E86">
    <cfRule type="expression" dxfId="183" priority="22" stopIfTrue="1">
      <formula>A10="U maakt gebruik van balansfinanciering"</formula>
    </cfRule>
  </conditionalFormatting>
  <conditionalFormatting sqref="B87:E87">
    <cfRule type="expression" priority="21" stopIfTrue="1">
      <formula>A10="U maakt gebruik van balansfinanciering"</formula>
    </cfRule>
    <cfRule type="expression" dxfId="182" priority="20" stopIfTrue="1">
      <formula>A10="U maakt gebruik van balansfinanciering"</formula>
    </cfRule>
  </conditionalFormatting>
  <conditionalFormatting sqref="B88:E88">
    <cfRule type="expression" dxfId="181" priority="19" stopIfTrue="1">
      <formula>A10="U maakt gebruik van balansfinanciering"</formula>
    </cfRule>
  </conditionalFormatting>
  <conditionalFormatting sqref="E11">
    <cfRule type="expression" dxfId="180" priority="61" stopIfTrue="1">
      <formula>A10="U maakt gebruik van projectfinanciering, u kunt regel 11 t/m 13 overslaan"</formula>
    </cfRule>
  </conditionalFormatting>
  <conditionalFormatting sqref="E11:E12">
    <cfRule type="expression" dxfId="179" priority="6">
      <formula>A11="Niet van toepassing"</formula>
    </cfRule>
  </conditionalFormatting>
  <conditionalFormatting sqref="E12">
    <cfRule type="expression" dxfId="178" priority="60" stopIfTrue="1">
      <formula>A10="U maakt gebruik van projectfinanciering, u kunt regel 11 t/m 13 overslaan"</formula>
    </cfRule>
  </conditionalFormatting>
  <conditionalFormatting sqref="G50">
    <cfRule type="expression" dxfId="177" priority="64" stopIfTrue="1">
      <formula>A10="U maakt gebruik van balansfinanciering"</formula>
    </cfRule>
  </conditionalFormatting>
  <conditionalFormatting sqref="G54">
    <cfRule type="expression" dxfId="176" priority="63" stopIfTrue="1">
      <formula>A10="U maakt gebruik van balansfinanciering"</formula>
    </cfRule>
  </conditionalFormatting>
  <conditionalFormatting sqref="G57">
    <cfRule type="expression" dxfId="175" priority="50" stopIfTrue="1">
      <formula>A10="U maakt gebruik van balansfinanciering"</formula>
    </cfRule>
  </conditionalFormatting>
  <conditionalFormatting sqref="G58">
    <cfRule type="expression" dxfId="174" priority="49" stopIfTrue="1">
      <formula>A10="U maakt gebruik van balansfinanciering"</formula>
    </cfRule>
  </conditionalFormatting>
  <conditionalFormatting sqref="G59">
    <cfRule type="expression" dxfId="173" priority="48" stopIfTrue="1">
      <formula>A10="U maakt gebruik van balansfinanciering"</formula>
    </cfRule>
  </conditionalFormatting>
  <conditionalFormatting sqref="G60">
    <cfRule type="expression" dxfId="172" priority="47" stopIfTrue="1">
      <formula>A10="U maakt gebruik van balansfinanciering"</formula>
    </cfRule>
  </conditionalFormatting>
  <conditionalFormatting sqref="G61">
    <cfRule type="expression" dxfId="171" priority="46" stopIfTrue="1">
      <formula>A10="U maakt gebruik van balansfinanciering"</formula>
    </cfRule>
  </conditionalFormatting>
  <conditionalFormatting sqref="G62">
    <cfRule type="expression" dxfId="170" priority="45" stopIfTrue="1">
      <formula>A10="U maakt gebruik van balansfinanciering"</formula>
    </cfRule>
  </conditionalFormatting>
  <conditionalFormatting sqref="G63">
    <cfRule type="expression" dxfId="169" priority="44" stopIfTrue="1">
      <formula>A10="U maakt gebruik van balansfinanciering"</formula>
    </cfRule>
  </conditionalFormatting>
  <conditionalFormatting sqref="G64">
    <cfRule type="expression" dxfId="168" priority="43" stopIfTrue="1">
      <formula>A10="U maakt gebruik van balansfinanciering"</formula>
    </cfRule>
  </conditionalFormatting>
  <conditionalFormatting sqref="G65">
    <cfRule type="expression" dxfId="167" priority="42" stopIfTrue="1">
      <formula>A10="U maakt gebruik van balansfinanciering"</formula>
    </cfRule>
  </conditionalFormatting>
  <conditionalFormatting sqref="G66">
    <cfRule type="expression" dxfId="166" priority="41" stopIfTrue="1">
      <formula>A10="U maakt gebruik van balansfinanciering"</formula>
    </cfRule>
  </conditionalFormatting>
  <conditionalFormatting sqref="G68">
    <cfRule type="expression" dxfId="165" priority="35" stopIfTrue="1">
      <formula>A10="U maakt gebruik van balansfinanciering"</formula>
    </cfRule>
  </conditionalFormatting>
  <conditionalFormatting sqref="G69">
    <cfRule type="expression" priority="34" stopIfTrue="1">
      <formula>A10="U maakt gebruik van balansfinanciering"</formula>
    </cfRule>
    <cfRule type="expression" dxfId="164" priority="33" stopIfTrue="1">
      <formula>A10="U maakt gebruik van balansfinanciering"</formula>
    </cfRule>
  </conditionalFormatting>
  <conditionalFormatting sqref="G70">
    <cfRule type="expression" dxfId="163" priority="32" stopIfTrue="1">
      <formula>A10="U maakt gebruik van balansfinanciering"</formula>
    </cfRule>
  </conditionalFormatting>
  <conditionalFormatting sqref="G71">
    <cfRule type="expression" dxfId="162" priority="31" stopIfTrue="1">
      <formula>A10="U maakt gebruik van balansfinanciering"</formula>
    </cfRule>
  </conditionalFormatting>
  <conditionalFormatting sqref="G72">
    <cfRule type="expression" dxfId="161" priority="30" stopIfTrue="1">
      <formula>A10="U maakt gebruik van balansfinanciering"</formula>
    </cfRule>
  </conditionalFormatting>
  <conditionalFormatting sqref="G79">
    <cfRule type="expression" dxfId="160" priority="18" stopIfTrue="1">
      <formula>A10="U maakt gebruik van balansfinanciering"</formula>
    </cfRule>
  </conditionalFormatting>
  <conditionalFormatting sqref="G80">
    <cfRule type="expression" dxfId="159" priority="17" stopIfTrue="1">
      <formula>A10="U maakt gebruik van balansfinanciering"</formula>
    </cfRule>
  </conditionalFormatting>
  <conditionalFormatting sqref="G81">
    <cfRule type="expression" dxfId="158" priority="16" stopIfTrue="1">
      <formula>A10="U maakt gebruik van balansfinanciering"</formula>
    </cfRule>
  </conditionalFormatting>
  <conditionalFormatting sqref="G82">
    <cfRule type="expression" dxfId="157" priority="15" stopIfTrue="1">
      <formula>A10="U maakt gebruik van balansfinanciering"</formula>
    </cfRule>
  </conditionalFormatting>
  <conditionalFormatting sqref="G83">
    <cfRule type="expression" dxfId="156" priority="14" stopIfTrue="1">
      <formula>A10="U maakt gebruik van balansfinanciering"</formula>
    </cfRule>
  </conditionalFormatting>
  <conditionalFormatting sqref="G84">
    <cfRule type="expression" dxfId="155" priority="13" stopIfTrue="1">
      <formula>A10="U maakt gebruik van balansfinanciering"</formula>
    </cfRule>
  </conditionalFormatting>
  <conditionalFormatting sqref="G85">
    <cfRule type="expression" dxfId="154" priority="12" stopIfTrue="1">
      <formula>A10="U maakt gebruik van balansfinanciering"</formula>
    </cfRule>
  </conditionalFormatting>
  <conditionalFormatting sqref="G86">
    <cfRule type="expression" dxfId="153" priority="11" stopIfTrue="1">
      <formula>A10="U maakt gebruik van balansfinanciering"</formula>
    </cfRule>
  </conditionalFormatting>
  <conditionalFormatting sqref="G87">
    <cfRule type="expression" dxfId="152" priority="10" stopIfTrue="1">
      <formula>A10="U maakt gebruik van balansfinanciering"</formula>
    </cfRule>
  </conditionalFormatting>
  <conditionalFormatting sqref="G88">
    <cfRule type="expression" dxfId="151" priority="8" stopIfTrue="1">
      <formula>A10="U maakt gebruik van balansfinanciering"</formula>
    </cfRule>
    <cfRule type="expression" priority="9" stopIfTrue="1">
      <formula>A10="U maakt gebruik van balansfinanciering"</formula>
    </cfRule>
  </conditionalFormatting>
  <pageMargins left="0.7" right="0.7" top="0.75" bottom="0.75" header="0.3" footer="0.3"/>
  <pageSetup paperSize="9" orientation="portrait" r:id="rId1"/>
  <ignoredErrors>
    <ignoredError sqref="H79:H88 H13 E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List Box 1">
              <controlPr defaultSize="0" autoLine="0" autoPict="0">
                <anchor moveWithCells="1" sizeWithCells="1">
                  <from>
                    <xdr:col>4</xdr:col>
                    <xdr:colOff>0</xdr:colOff>
                    <xdr:row>14</xdr:row>
                    <xdr:rowOff>28575</xdr:rowOff>
                  </from>
                  <to>
                    <xdr:col>5</xdr:col>
                    <xdr:colOff>19050</xdr:colOff>
                    <xdr:row>16</xdr:row>
                    <xdr:rowOff>142875</xdr:rowOff>
                  </to>
                </anchor>
              </controlPr>
            </control>
          </mc:Choice>
        </mc:AlternateContent>
        <mc:AlternateContent xmlns:mc="http://schemas.openxmlformats.org/markup-compatibility/2006">
          <mc:Choice Requires="x14">
            <control shapeId="2052" r:id="rId5" name="List Box 4">
              <controlPr defaultSize="0" autoLine="0" autoPict="0">
                <anchor moveWithCells="1" sizeWithCells="1">
                  <from>
                    <xdr:col>4</xdr:col>
                    <xdr:colOff>1352550</xdr:colOff>
                    <xdr:row>8</xdr:row>
                    <xdr:rowOff>28575</xdr:rowOff>
                  </from>
                  <to>
                    <xdr:col>5</xdr:col>
                    <xdr:colOff>0</xdr:colOff>
                    <xdr:row>8</xdr:row>
                    <xdr:rowOff>323850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C2FF5-AF27-41AE-9954-F12D4355F81A}">
  <dimension ref="A1:S147"/>
  <sheetViews>
    <sheetView workbookViewId="0">
      <selection activeCell="I46" sqref="I46"/>
    </sheetView>
  </sheetViews>
  <sheetFormatPr defaultColWidth="8.7109375" defaultRowHeight="15" x14ac:dyDescent="0.25"/>
  <cols>
    <col min="1" max="1" width="69.42578125" style="4" customWidth="1"/>
    <col min="2" max="2" width="8.7109375" style="23"/>
    <col min="3" max="3" width="11.7109375" style="23" bestFit="1" customWidth="1"/>
    <col min="4" max="4" width="13.7109375" style="4" customWidth="1"/>
    <col min="5" max="5" width="110.28515625" style="4" customWidth="1"/>
    <col min="6" max="6" width="76.5703125" style="4" customWidth="1"/>
    <col min="7" max="7" width="14" style="4" bestFit="1" customWidth="1"/>
    <col min="8" max="14" width="12.7109375" style="4" customWidth="1"/>
    <col min="15" max="15" width="13.7109375" style="4" customWidth="1"/>
    <col min="16" max="16" width="12.42578125" style="4" customWidth="1"/>
    <col min="17" max="256" width="8.7109375" style="4"/>
    <col min="257" max="257" width="55.7109375" style="4" customWidth="1"/>
    <col min="258" max="259" width="8.7109375" style="4"/>
    <col min="260" max="260" width="10.7109375" style="4" customWidth="1"/>
    <col min="261" max="261" width="110.28515625" style="4" customWidth="1"/>
    <col min="262" max="262" width="76.5703125" style="4" customWidth="1"/>
    <col min="263" max="263" width="14" style="4" bestFit="1" customWidth="1"/>
    <col min="264" max="270" width="12.7109375" style="4" customWidth="1"/>
    <col min="271" max="271" width="13.7109375" style="4" customWidth="1"/>
    <col min="272" max="272" width="12.42578125" style="4" customWidth="1"/>
    <col min="273" max="512" width="8.7109375" style="4"/>
    <col min="513" max="513" width="55.7109375" style="4" customWidth="1"/>
    <col min="514" max="515" width="8.7109375" style="4"/>
    <col min="516" max="516" width="10.7109375" style="4" customWidth="1"/>
    <col min="517" max="517" width="110.28515625" style="4" customWidth="1"/>
    <col min="518" max="518" width="76.5703125" style="4" customWidth="1"/>
    <col min="519" max="519" width="14" style="4" bestFit="1" customWidth="1"/>
    <col min="520" max="526" width="12.7109375" style="4" customWidth="1"/>
    <col min="527" max="527" width="13.7109375" style="4" customWidth="1"/>
    <col min="528" max="528" width="12.42578125" style="4" customWidth="1"/>
    <col min="529" max="768" width="8.7109375" style="4"/>
    <col min="769" max="769" width="55.7109375" style="4" customWidth="1"/>
    <col min="770" max="771" width="8.7109375" style="4"/>
    <col min="772" max="772" width="10.7109375" style="4" customWidth="1"/>
    <col min="773" max="773" width="110.28515625" style="4" customWidth="1"/>
    <col min="774" max="774" width="76.5703125" style="4" customWidth="1"/>
    <col min="775" max="775" width="14" style="4" bestFit="1" customWidth="1"/>
    <col min="776" max="782" width="12.7109375" style="4" customWidth="1"/>
    <col min="783" max="783" width="13.7109375" style="4" customWidth="1"/>
    <col min="784" max="784" width="12.42578125" style="4" customWidth="1"/>
    <col min="785" max="1024" width="8.7109375" style="4"/>
    <col min="1025" max="1025" width="55.7109375" style="4" customWidth="1"/>
    <col min="1026" max="1027" width="8.7109375" style="4"/>
    <col min="1028" max="1028" width="10.7109375" style="4" customWidth="1"/>
    <col min="1029" max="1029" width="110.28515625" style="4" customWidth="1"/>
    <col min="1030" max="1030" width="76.5703125" style="4" customWidth="1"/>
    <col min="1031" max="1031" width="14" style="4" bestFit="1" customWidth="1"/>
    <col min="1032" max="1038" width="12.7109375" style="4" customWidth="1"/>
    <col min="1039" max="1039" width="13.7109375" style="4" customWidth="1"/>
    <col min="1040" max="1040" width="12.42578125" style="4" customWidth="1"/>
    <col min="1041" max="1280" width="8.7109375" style="4"/>
    <col min="1281" max="1281" width="55.7109375" style="4" customWidth="1"/>
    <col min="1282" max="1283" width="8.7109375" style="4"/>
    <col min="1284" max="1284" width="10.7109375" style="4" customWidth="1"/>
    <col min="1285" max="1285" width="110.28515625" style="4" customWidth="1"/>
    <col min="1286" max="1286" width="76.5703125" style="4" customWidth="1"/>
    <col min="1287" max="1287" width="14" style="4" bestFit="1" customWidth="1"/>
    <col min="1288" max="1294" width="12.7109375" style="4" customWidth="1"/>
    <col min="1295" max="1295" width="13.7109375" style="4" customWidth="1"/>
    <col min="1296" max="1296" width="12.42578125" style="4" customWidth="1"/>
    <col min="1297" max="1536" width="8.7109375" style="4"/>
    <col min="1537" max="1537" width="55.7109375" style="4" customWidth="1"/>
    <col min="1538" max="1539" width="8.7109375" style="4"/>
    <col min="1540" max="1540" width="10.7109375" style="4" customWidth="1"/>
    <col min="1541" max="1541" width="110.28515625" style="4" customWidth="1"/>
    <col min="1542" max="1542" width="76.5703125" style="4" customWidth="1"/>
    <col min="1543" max="1543" width="14" style="4" bestFit="1" customWidth="1"/>
    <col min="1544" max="1550" width="12.7109375" style="4" customWidth="1"/>
    <col min="1551" max="1551" width="13.7109375" style="4" customWidth="1"/>
    <col min="1552" max="1552" width="12.42578125" style="4" customWidth="1"/>
    <col min="1553" max="1792" width="8.7109375" style="4"/>
    <col min="1793" max="1793" width="55.7109375" style="4" customWidth="1"/>
    <col min="1794" max="1795" width="8.7109375" style="4"/>
    <col min="1796" max="1796" width="10.7109375" style="4" customWidth="1"/>
    <col min="1797" max="1797" width="110.28515625" style="4" customWidth="1"/>
    <col min="1798" max="1798" width="76.5703125" style="4" customWidth="1"/>
    <col min="1799" max="1799" width="14" style="4" bestFit="1" customWidth="1"/>
    <col min="1800" max="1806" width="12.7109375" style="4" customWidth="1"/>
    <col min="1807" max="1807" width="13.7109375" style="4" customWidth="1"/>
    <col min="1808" max="1808" width="12.42578125" style="4" customWidth="1"/>
    <col min="1809" max="2048" width="8.7109375" style="4"/>
    <col min="2049" max="2049" width="55.7109375" style="4" customWidth="1"/>
    <col min="2050" max="2051" width="8.7109375" style="4"/>
    <col min="2052" max="2052" width="10.7109375" style="4" customWidth="1"/>
    <col min="2053" max="2053" width="110.28515625" style="4" customWidth="1"/>
    <col min="2054" max="2054" width="76.5703125" style="4" customWidth="1"/>
    <col min="2055" max="2055" width="14" style="4" bestFit="1" customWidth="1"/>
    <col min="2056" max="2062" width="12.7109375" style="4" customWidth="1"/>
    <col min="2063" max="2063" width="13.7109375" style="4" customWidth="1"/>
    <col min="2064" max="2064" width="12.42578125" style="4" customWidth="1"/>
    <col min="2065" max="2304" width="8.7109375" style="4"/>
    <col min="2305" max="2305" width="55.7109375" style="4" customWidth="1"/>
    <col min="2306" max="2307" width="8.7109375" style="4"/>
    <col min="2308" max="2308" width="10.7109375" style="4" customWidth="1"/>
    <col min="2309" max="2309" width="110.28515625" style="4" customWidth="1"/>
    <col min="2310" max="2310" width="76.5703125" style="4" customWidth="1"/>
    <col min="2311" max="2311" width="14" style="4" bestFit="1" customWidth="1"/>
    <col min="2312" max="2318" width="12.7109375" style="4" customWidth="1"/>
    <col min="2319" max="2319" width="13.7109375" style="4" customWidth="1"/>
    <col min="2320" max="2320" width="12.42578125" style="4" customWidth="1"/>
    <col min="2321" max="2560" width="8.7109375" style="4"/>
    <col min="2561" max="2561" width="55.7109375" style="4" customWidth="1"/>
    <col min="2562" max="2563" width="8.7109375" style="4"/>
    <col min="2564" max="2564" width="10.7109375" style="4" customWidth="1"/>
    <col min="2565" max="2565" width="110.28515625" style="4" customWidth="1"/>
    <col min="2566" max="2566" width="76.5703125" style="4" customWidth="1"/>
    <col min="2567" max="2567" width="14" style="4" bestFit="1" customWidth="1"/>
    <col min="2568" max="2574" width="12.7109375" style="4" customWidth="1"/>
    <col min="2575" max="2575" width="13.7109375" style="4" customWidth="1"/>
    <col min="2576" max="2576" width="12.42578125" style="4" customWidth="1"/>
    <col min="2577" max="2816" width="8.7109375" style="4"/>
    <col min="2817" max="2817" width="55.7109375" style="4" customWidth="1"/>
    <col min="2818" max="2819" width="8.7109375" style="4"/>
    <col min="2820" max="2820" width="10.7109375" style="4" customWidth="1"/>
    <col min="2821" max="2821" width="110.28515625" style="4" customWidth="1"/>
    <col min="2822" max="2822" width="76.5703125" style="4" customWidth="1"/>
    <col min="2823" max="2823" width="14" style="4" bestFit="1" customWidth="1"/>
    <col min="2824" max="2830" width="12.7109375" style="4" customWidth="1"/>
    <col min="2831" max="2831" width="13.7109375" style="4" customWidth="1"/>
    <col min="2832" max="2832" width="12.42578125" style="4" customWidth="1"/>
    <col min="2833" max="3072" width="8.7109375" style="4"/>
    <col min="3073" max="3073" width="55.7109375" style="4" customWidth="1"/>
    <col min="3074" max="3075" width="8.7109375" style="4"/>
    <col min="3076" max="3076" width="10.7109375" style="4" customWidth="1"/>
    <col min="3077" max="3077" width="110.28515625" style="4" customWidth="1"/>
    <col min="3078" max="3078" width="76.5703125" style="4" customWidth="1"/>
    <col min="3079" max="3079" width="14" style="4" bestFit="1" customWidth="1"/>
    <col min="3080" max="3086" width="12.7109375" style="4" customWidth="1"/>
    <col min="3087" max="3087" width="13.7109375" style="4" customWidth="1"/>
    <col min="3088" max="3088" width="12.42578125" style="4" customWidth="1"/>
    <col min="3089" max="3328" width="8.7109375" style="4"/>
    <col min="3329" max="3329" width="55.7109375" style="4" customWidth="1"/>
    <col min="3330" max="3331" width="8.7109375" style="4"/>
    <col min="3332" max="3332" width="10.7109375" style="4" customWidth="1"/>
    <col min="3333" max="3333" width="110.28515625" style="4" customWidth="1"/>
    <col min="3334" max="3334" width="76.5703125" style="4" customWidth="1"/>
    <col min="3335" max="3335" width="14" style="4" bestFit="1" customWidth="1"/>
    <col min="3336" max="3342" width="12.7109375" style="4" customWidth="1"/>
    <col min="3343" max="3343" width="13.7109375" style="4" customWidth="1"/>
    <col min="3344" max="3344" width="12.42578125" style="4" customWidth="1"/>
    <col min="3345" max="3584" width="8.7109375" style="4"/>
    <col min="3585" max="3585" width="55.7109375" style="4" customWidth="1"/>
    <col min="3586" max="3587" width="8.7109375" style="4"/>
    <col min="3588" max="3588" width="10.7109375" style="4" customWidth="1"/>
    <col min="3589" max="3589" width="110.28515625" style="4" customWidth="1"/>
    <col min="3590" max="3590" width="76.5703125" style="4" customWidth="1"/>
    <col min="3591" max="3591" width="14" style="4" bestFit="1" customWidth="1"/>
    <col min="3592" max="3598" width="12.7109375" style="4" customWidth="1"/>
    <col min="3599" max="3599" width="13.7109375" style="4" customWidth="1"/>
    <col min="3600" max="3600" width="12.42578125" style="4" customWidth="1"/>
    <col min="3601" max="3840" width="8.7109375" style="4"/>
    <col min="3841" max="3841" width="55.7109375" style="4" customWidth="1"/>
    <col min="3842" max="3843" width="8.7109375" style="4"/>
    <col min="3844" max="3844" width="10.7109375" style="4" customWidth="1"/>
    <col min="3845" max="3845" width="110.28515625" style="4" customWidth="1"/>
    <col min="3846" max="3846" width="76.5703125" style="4" customWidth="1"/>
    <col min="3847" max="3847" width="14" style="4" bestFit="1" customWidth="1"/>
    <col min="3848" max="3854" width="12.7109375" style="4" customWidth="1"/>
    <col min="3855" max="3855" width="13.7109375" style="4" customWidth="1"/>
    <col min="3856" max="3856" width="12.42578125" style="4" customWidth="1"/>
    <col min="3857" max="4096" width="8.7109375" style="4"/>
    <col min="4097" max="4097" width="55.7109375" style="4" customWidth="1"/>
    <col min="4098" max="4099" width="8.7109375" style="4"/>
    <col min="4100" max="4100" width="10.7109375" style="4" customWidth="1"/>
    <col min="4101" max="4101" width="110.28515625" style="4" customWidth="1"/>
    <col min="4102" max="4102" width="76.5703125" style="4" customWidth="1"/>
    <col min="4103" max="4103" width="14" style="4" bestFit="1" customWidth="1"/>
    <col min="4104" max="4110" width="12.7109375" style="4" customWidth="1"/>
    <col min="4111" max="4111" width="13.7109375" style="4" customWidth="1"/>
    <col min="4112" max="4112" width="12.42578125" style="4" customWidth="1"/>
    <col min="4113" max="4352" width="8.7109375" style="4"/>
    <col min="4353" max="4353" width="55.7109375" style="4" customWidth="1"/>
    <col min="4354" max="4355" width="8.7109375" style="4"/>
    <col min="4356" max="4356" width="10.7109375" style="4" customWidth="1"/>
    <col min="4357" max="4357" width="110.28515625" style="4" customWidth="1"/>
    <col min="4358" max="4358" width="76.5703125" style="4" customWidth="1"/>
    <col min="4359" max="4359" width="14" style="4" bestFit="1" customWidth="1"/>
    <col min="4360" max="4366" width="12.7109375" style="4" customWidth="1"/>
    <col min="4367" max="4367" width="13.7109375" style="4" customWidth="1"/>
    <col min="4368" max="4368" width="12.42578125" style="4" customWidth="1"/>
    <col min="4369" max="4608" width="8.7109375" style="4"/>
    <col min="4609" max="4609" width="55.7109375" style="4" customWidth="1"/>
    <col min="4610" max="4611" width="8.7109375" style="4"/>
    <col min="4612" max="4612" width="10.7109375" style="4" customWidth="1"/>
    <col min="4613" max="4613" width="110.28515625" style="4" customWidth="1"/>
    <col min="4614" max="4614" width="76.5703125" style="4" customWidth="1"/>
    <col min="4615" max="4615" width="14" style="4" bestFit="1" customWidth="1"/>
    <col min="4616" max="4622" width="12.7109375" style="4" customWidth="1"/>
    <col min="4623" max="4623" width="13.7109375" style="4" customWidth="1"/>
    <col min="4624" max="4624" width="12.42578125" style="4" customWidth="1"/>
    <col min="4625" max="4864" width="8.7109375" style="4"/>
    <col min="4865" max="4865" width="55.7109375" style="4" customWidth="1"/>
    <col min="4866" max="4867" width="8.7109375" style="4"/>
    <col min="4868" max="4868" width="10.7109375" style="4" customWidth="1"/>
    <col min="4869" max="4869" width="110.28515625" style="4" customWidth="1"/>
    <col min="4870" max="4870" width="76.5703125" style="4" customWidth="1"/>
    <col min="4871" max="4871" width="14" style="4" bestFit="1" customWidth="1"/>
    <col min="4872" max="4878" width="12.7109375" style="4" customWidth="1"/>
    <col min="4879" max="4879" width="13.7109375" style="4" customWidth="1"/>
    <col min="4880" max="4880" width="12.42578125" style="4" customWidth="1"/>
    <col min="4881" max="5120" width="8.7109375" style="4"/>
    <col min="5121" max="5121" width="55.7109375" style="4" customWidth="1"/>
    <col min="5122" max="5123" width="8.7109375" style="4"/>
    <col min="5124" max="5124" width="10.7109375" style="4" customWidth="1"/>
    <col min="5125" max="5125" width="110.28515625" style="4" customWidth="1"/>
    <col min="5126" max="5126" width="76.5703125" style="4" customWidth="1"/>
    <col min="5127" max="5127" width="14" style="4" bestFit="1" customWidth="1"/>
    <col min="5128" max="5134" width="12.7109375" style="4" customWidth="1"/>
    <col min="5135" max="5135" width="13.7109375" style="4" customWidth="1"/>
    <col min="5136" max="5136" width="12.42578125" style="4" customWidth="1"/>
    <col min="5137" max="5376" width="8.7109375" style="4"/>
    <col min="5377" max="5377" width="55.7109375" style="4" customWidth="1"/>
    <col min="5378" max="5379" width="8.7109375" style="4"/>
    <col min="5380" max="5380" width="10.7109375" style="4" customWidth="1"/>
    <col min="5381" max="5381" width="110.28515625" style="4" customWidth="1"/>
    <col min="5382" max="5382" width="76.5703125" style="4" customWidth="1"/>
    <col min="5383" max="5383" width="14" style="4" bestFit="1" customWidth="1"/>
    <col min="5384" max="5390" width="12.7109375" style="4" customWidth="1"/>
    <col min="5391" max="5391" width="13.7109375" style="4" customWidth="1"/>
    <col min="5392" max="5392" width="12.42578125" style="4" customWidth="1"/>
    <col min="5393" max="5632" width="8.7109375" style="4"/>
    <col min="5633" max="5633" width="55.7109375" style="4" customWidth="1"/>
    <col min="5634" max="5635" width="8.7109375" style="4"/>
    <col min="5636" max="5636" width="10.7109375" style="4" customWidth="1"/>
    <col min="5637" max="5637" width="110.28515625" style="4" customWidth="1"/>
    <col min="5638" max="5638" width="76.5703125" style="4" customWidth="1"/>
    <col min="5639" max="5639" width="14" style="4" bestFit="1" customWidth="1"/>
    <col min="5640" max="5646" width="12.7109375" style="4" customWidth="1"/>
    <col min="5647" max="5647" width="13.7109375" style="4" customWidth="1"/>
    <col min="5648" max="5648" width="12.42578125" style="4" customWidth="1"/>
    <col min="5649" max="5888" width="8.7109375" style="4"/>
    <col min="5889" max="5889" width="55.7109375" style="4" customWidth="1"/>
    <col min="5890" max="5891" width="8.7109375" style="4"/>
    <col min="5892" max="5892" width="10.7109375" style="4" customWidth="1"/>
    <col min="5893" max="5893" width="110.28515625" style="4" customWidth="1"/>
    <col min="5894" max="5894" width="76.5703125" style="4" customWidth="1"/>
    <col min="5895" max="5895" width="14" style="4" bestFit="1" customWidth="1"/>
    <col min="5896" max="5902" width="12.7109375" style="4" customWidth="1"/>
    <col min="5903" max="5903" width="13.7109375" style="4" customWidth="1"/>
    <col min="5904" max="5904" width="12.42578125" style="4" customWidth="1"/>
    <col min="5905" max="6144" width="8.7109375" style="4"/>
    <col min="6145" max="6145" width="55.7109375" style="4" customWidth="1"/>
    <col min="6146" max="6147" width="8.7109375" style="4"/>
    <col min="6148" max="6148" width="10.7109375" style="4" customWidth="1"/>
    <col min="6149" max="6149" width="110.28515625" style="4" customWidth="1"/>
    <col min="6150" max="6150" width="76.5703125" style="4" customWidth="1"/>
    <col min="6151" max="6151" width="14" style="4" bestFit="1" customWidth="1"/>
    <col min="6152" max="6158" width="12.7109375" style="4" customWidth="1"/>
    <col min="6159" max="6159" width="13.7109375" style="4" customWidth="1"/>
    <col min="6160" max="6160" width="12.42578125" style="4" customWidth="1"/>
    <col min="6161" max="6400" width="8.7109375" style="4"/>
    <col min="6401" max="6401" width="55.7109375" style="4" customWidth="1"/>
    <col min="6402" max="6403" width="8.7109375" style="4"/>
    <col min="6404" max="6404" width="10.7109375" style="4" customWidth="1"/>
    <col min="6405" max="6405" width="110.28515625" style="4" customWidth="1"/>
    <col min="6406" max="6406" width="76.5703125" style="4" customWidth="1"/>
    <col min="6407" max="6407" width="14" style="4" bestFit="1" customWidth="1"/>
    <col min="6408" max="6414" width="12.7109375" style="4" customWidth="1"/>
    <col min="6415" max="6415" width="13.7109375" style="4" customWidth="1"/>
    <col min="6416" max="6416" width="12.42578125" style="4" customWidth="1"/>
    <col min="6417" max="6656" width="8.7109375" style="4"/>
    <col min="6657" max="6657" width="55.7109375" style="4" customWidth="1"/>
    <col min="6658" max="6659" width="8.7109375" style="4"/>
    <col min="6660" max="6660" width="10.7109375" style="4" customWidth="1"/>
    <col min="6661" max="6661" width="110.28515625" style="4" customWidth="1"/>
    <col min="6662" max="6662" width="76.5703125" style="4" customWidth="1"/>
    <col min="6663" max="6663" width="14" style="4" bestFit="1" customWidth="1"/>
    <col min="6664" max="6670" width="12.7109375" style="4" customWidth="1"/>
    <col min="6671" max="6671" width="13.7109375" style="4" customWidth="1"/>
    <col min="6672" max="6672" width="12.42578125" style="4" customWidth="1"/>
    <col min="6673" max="6912" width="8.7109375" style="4"/>
    <col min="6913" max="6913" width="55.7109375" style="4" customWidth="1"/>
    <col min="6914" max="6915" width="8.7109375" style="4"/>
    <col min="6916" max="6916" width="10.7109375" style="4" customWidth="1"/>
    <col min="6917" max="6917" width="110.28515625" style="4" customWidth="1"/>
    <col min="6918" max="6918" width="76.5703125" style="4" customWidth="1"/>
    <col min="6919" max="6919" width="14" style="4" bestFit="1" customWidth="1"/>
    <col min="6920" max="6926" width="12.7109375" style="4" customWidth="1"/>
    <col min="6927" max="6927" width="13.7109375" style="4" customWidth="1"/>
    <col min="6928" max="6928" width="12.42578125" style="4" customWidth="1"/>
    <col min="6929" max="7168" width="8.7109375" style="4"/>
    <col min="7169" max="7169" width="55.7109375" style="4" customWidth="1"/>
    <col min="7170" max="7171" width="8.7109375" style="4"/>
    <col min="7172" max="7172" width="10.7109375" style="4" customWidth="1"/>
    <col min="7173" max="7173" width="110.28515625" style="4" customWidth="1"/>
    <col min="7174" max="7174" width="76.5703125" style="4" customWidth="1"/>
    <col min="7175" max="7175" width="14" style="4" bestFit="1" customWidth="1"/>
    <col min="7176" max="7182" width="12.7109375" style="4" customWidth="1"/>
    <col min="7183" max="7183" width="13.7109375" style="4" customWidth="1"/>
    <col min="7184" max="7184" width="12.42578125" style="4" customWidth="1"/>
    <col min="7185" max="7424" width="8.7109375" style="4"/>
    <col min="7425" max="7425" width="55.7109375" style="4" customWidth="1"/>
    <col min="7426" max="7427" width="8.7109375" style="4"/>
    <col min="7428" max="7428" width="10.7109375" style="4" customWidth="1"/>
    <col min="7429" max="7429" width="110.28515625" style="4" customWidth="1"/>
    <col min="7430" max="7430" width="76.5703125" style="4" customWidth="1"/>
    <col min="7431" max="7431" width="14" style="4" bestFit="1" customWidth="1"/>
    <col min="7432" max="7438" width="12.7109375" style="4" customWidth="1"/>
    <col min="7439" max="7439" width="13.7109375" style="4" customWidth="1"/>
    <col min="7440" max="7440" width="12.42578125" style="4" customWidth="1"/>
    <col min="7441" max="7680" width="8.7109375" style="4"/>
    <col min="7681" max="7681" width="55.7109375" style="4" customWidth="1"/>
    <col min="7682" max="7683" width="8.7109375" style="4"/>
    <col min="7684" max="7684" width="10.7109375" style="4" customWidth="1"/>
    <col min="7685" max="7685" width="110.28515625" style="4" customWidth="1"/>
    <col min="7686" max="7686" width="76.5703125" style="4" customWidth="1"/>
    <col min="7687" max="7687" width="14" style="4" bestFit="1" customWidth="1"/>
    <col min="7688" max="7694" width="12.7109375" style="4" customWidth="1"/>
    <col min="7695" max="7695" width="13.7109375" style="4" customWidth="1"/>
    <col min="7696" max="7696" width="12.42578125" style="4" customWidth="1"/>
    <col min="7697" max="7936" width="8.7109375" style="4"/>
    <col min="7937" max="7937" width="55.7109375" style="4" customWidth="1"/>
    <col min="7938" max="7939" width="8.7109375" style="4"/>
    <col min="7940" max="7940" width="10.7109375" style="4" customWidth="1"/>
    <col min="7941" max="7941" width="110.28515625" style="4" customWidth="1"/>
    <col min="7942" max="7942" width="76.5703125" style="4" customWidth="1"/>
    <col min="7943" max="7943" width="14" style="4" bestFit="1" customWidth="1"/>
    <col min="7944" max="7950" width="12.7109375" style="4" customWidth="1"/>
    <col min="7951" max="7951" width="13.7109375" style="4" customWidth="1"/>
    <col min="7952" max="7952" width="12.42578125" style="4" customWidth="1"/>
    <col min="7953" max="8192" width="8.7109375" style="4"/>
    <col min="8193" max="8193" width="55.7109375" style="4" customWidth="1"/>
    <col min="8194" max="8195" width="8.7109375" style="4"/>
    <col min="8196" max="8196" width="10.7109375" style="4" customWidth="1"/>
    <col min="8197" max="8197" width="110.28515625" style="4" customWidth="1"/>
    <col min="8198" max="8198" width="76.5703125" style="4" customWidth="1"/>
    <col min="8199" max="8199" width="14" style="4" bestFit="1" customWidth="1"/>
    <col min="8200" max="8206" width="12.7109375" style="4" customWidth="1"/>
    <col min="8207" max="8207" width="13.7109375" style="4" customWidth="1"/>
    <col min="8208" max="8208" width="12.42578125" style="4" customWidth="1"/>
    <col min="8209" max="8448" width="8.7109375" style="4"/>
    <col min="8449" max="8449" width="55.7109375" style="4" customWidth="1"/>
    <col min="8450" max="8451" width="8.7109375" style="4"/>
    <col min="8452" max="8452" width="10.7109375" style="4" customWidth="1"/>
    <col min="8453" max="8453" width="110.28515625" style="4" customWidth="1"/>
    <col min="8454" max="8454" width="76.5703125" style="4" customWidth="1"/>
    <col min="8455" max="8455" width="14" style="4" bestFit="1" customWidth="1"/>
    <col min="8456" max="8462" width="12.7109375" style="4" customWidth="1"/>
    <col min="8463" max="8463" width="13.7109375" style="4" customWidth="1"/>
    <col min="8464" max="8464" width="12.42578125" style="4" customWidth="1"/>
    <col min="8465" max="8704" width="8.7109375" style="4"/>
    <col min="8705" max="8705" width="55.7109375" style="4" customWidth="1"/>
    <col min="8706" max="8707" width="8.7109375" style="4"/>
    <col min="8708" max="8708" width="10.7109375" style="4" customWidth="1"/>
    <col min="8709" max="8709" width="110.28515625" style="4" customWidth="1"/>
    <col min="8710" max="8710" width="76.5703125" style="4" customWidth="1"/>
    <col min="8711" max="8711" width="14" style="4" bestFit="1" customWidth="1"/>
    <col min="8712" max="8718" width="12.7109375" style="4" customWidth="1"/>
    <col min="8719" max="8719" width="13.7109375" style="4" customWidth="1"/>
    <col min="8720" max="8720" width="12.42578125" style="4" customWidth="1"/>
    <col min="8721" max="8960" width="8.7109375" style="4"/>
    <col min="8961" max="8961" width="55.7109375" style="4" customWidth="1"/>
    <col min="8962" max="8963" width="8.7109375" style="4"/>
    <col min="8964" max="8964" width="10.7109375" style="4" customWidth="1"/>
    <col min="8965" max="8965" width="110.28515625" style="4" customWidth="1"/>
    <col min="8966" max="8966" width="76.5703125" style="4" customWidth="1"/>
    <col min="8967" max="8967" width="14" style="4" bestFit="1" customWidth="1"/>
    <col min="8968" max="8974" width="12.7109375" style="4" customWidth="1"/>
    <col min="8975" max="8975" width="13.7109375" style="4" customWidth="1"/>
    <col min="8976" max="8976" width="12.42578125" style="4" customWidth="1"/>
    <col min="8977" max="9216" width="8.7109375" style="4"/>
    <col min="9217" max="9217" width="55.7109375" style="4" customWidth="1"/>
    <col min="9218" max="9219" width="8.7109375" style="4"/>
    <col min="9220" max="9220" width="10.7109375" style="4" customWidth="1"/>
    <col min="9221" max="9221" width="110.28515625" style="4" customWidth="1"/>
    <col min="9222" max="9222" width="76.5703125" style="4" customWidth="1"/>
    <col min="9223" max="9223" width="14" style="4" bestFit="1" customWidth="1"/>
    <col min="9224" max="9230" width="12.7109375" style="4" customWidth="1"/>
    <col min="9231" max="9231" width="13.7109375" style="4" customWidth="1"/>
    <col min="9232" max="9232" width="12.42578125" style="4" customWidth="1"/>
    <col min="9233" max="9472" width="8.7109375" style="4"/>
    <col min="9473" max="9473" width="55.7109375" style="4" customWidth="1"/>
    <col min="9474" max="9475" width="8.7109375" style="4"/>
    <col min="9476" max="9476" width="10.7109375" style="4" customWidth="1"/>
    <col min="9477" max="9477" width="110.28515625" style="4" customWidth="1"/>
    <col min="9478" max="9478" width="76.5703125" style="4" customWidth="1"/>
    <col min="9479" max="9479" width="14" style="4" bestFit="1" customWidth="1"/>
    <col min="9480" max="9486" width="12.7109375" style="4" customWidth="1"/>
    <col min="9487" max="9487" width="13.7109375" style="4" customWidth="1"/>
    <col min="9488" max="9488" width="12.42578125" style="4" customWidth="1"/>
    <col min="9489" max="9728" width="8.7109375" style="4"/>
    <col min="9729" max="9729" width="55.7109375" style="4" customWidth="1"/>
    <col min="9730" max="9731" width="8.7109375" style="4"/>
    <col min="9732" max="9732" width="10.7109375" style="4" customWidth="1"/>
    <col min="9733" max="9733" width="110.28515625" style="4" customWidth="1"/>
    <col min="9734" max="9734" width="76.5703125" style="4" customWidth="1"/>
    <col min="9735" max="9735" width="14" style="4" bestFit="1" customWidth="1"/>
    <col min="9736" max="9742" width="12.7109375" style="4" customWidth="1"/>
    <col min="9743" max="9743" width="13.7109375" style="4" customWidth="1"/>
    <col min="9744" max="9744" width="12.42578125" style="4" customWidth="1"/>
    <col min="9745" max="9984" width="8.7109375" style="4"/>
    <col min="9985" max="9985" width="55.7109375" style="4" customWidth="1"/>
    <col min="9986" max="9987" width="8.7109375" style="4"/>
    <col min="9988" max="9988" width="10.7109375" style="4" customWidth="1"/>
    <col min="9989" max="9989" width="110.28515625" style="4" customWidth="1"/>
    <col min="9990" max="9990" width="76.5703125" style="4" customWidth="1"/>
    <col min="9991" max="9991" width="14" style="4" bestFit="1" customWidth="1"/>
    <col min="9992" max="9998" width="12.7109375" style="4" customWidth="1"/>
    <col min="9999" max="9999" width="13.7109375" style="4" customWidth="1"/>
    <col min="10000" max="10000" width="12.42578125" style="4" customWidth="1"/>
    <col min="10001" max="10240" width="8.7109375" style="4"/>
    <col min="10241" max="10241" width="55.7109375" style="4" customWidth="1"/>
    <col min="10242" max="10243" width="8.7109375" style="4"/>
    <col min="10244" max="10244" width="10.7109375" style="4" customWidth="1"/>
    <col min="10245" max="10245" width="110.28515625" style="4" customWidth="1"/>
    <col min="10246" max="10246" width="76.5703125" style="4" customWidth="1"/>
    <col min="10247" max="10247" width="14" style="4" bestFit="1" customWidth="1"/>
    <col min="10248" max="10254" width="12.7109375" style="4" customWidth="1"/>
    <col min="10255" max="10255" width="13.7109375" style="4" customWidth="1"/>
    <col min="10256" max="10256" width="12.42578125" style="4" customWidth="1"/>
    <col min="10257" max="10496" width="8.7109375" style="4"/>
    <col min="10497" max="10497" width="55.7109375" style="4" customWidth="1"/>
    <col min="10498" max="10499" width="8.7109375" style="4"/>
    <col min="10500" max="10500" width="10.7109375" style="4" customWidth="1"/>
    <col min="10501" max="10501" width="110.28515625" style="4" customWidth="1"/>
    <col min="10502" max="10502" width="76.5703125" style="4" customWidth="1"/>
    <col min="10503" max="10503" width="14" style="4" bestFit="1" customWidth="1"/>
    <col min="10504" max="10510" width="12.7109375" style="4" customWidth="1"/>
    <col min="10511" max="10511" width="13.7109375" style="4" customWidth="1"/>
    <col min="10512" max="10512" width="12.42578125" style="4" customWidth="1"/>
    <col min="10513" max="10752" width="8.7109375" style="4"/>
    <col min="10753" max="10753" width="55.7109375" style="4" customWidth="1"/>
    <col min="10754" max="10755" width="8.7109375" style="4"/>
    <col min="10756" max="10756" width="10.7109375" style="4" customWidth="1"/>
    <col min="10757" max="10757" width="110.28515625" style="4" customWidth="1"/>
    <col min="10758" max="10758" width="76.5703125" style="4" customWidth="1"/>
    <col min="10759" max="10759" width="14" style="4" bestFit="1" customWidth="1"/>
    <col min="10760" max="10766" width="12.7109375" style="4" customWidth="1"/>
    <col min="10767" max="10767" width="13.7109375" style="4" customWidth="1"/>
    <col min="10768" max="10768" width="12.42578125" style="4" customWidth="1"/>
    <col min="10769" max="11008" width="8.7109375" style="4"/>
    <col min="11009" max="11009" width="55.7109375" style="4" customWidth="1"/>
    <col min="11010" max="11011" width="8.7109375" style="4"/>
    <col min="11012" max="11012" width="10.7109375" style="4" customWidth="1"/>
    <col min="11013" max="11013" width="110.28515625" style="4" customWidth="1"/>
    <col min="11014" max="11014" width="76.5703125" style="4" customWidth="1"/>
    <col min="11015" max="11015" width="14" style="4" bestFit="1" customWidth="1"/>
    <col min="11016" max="11022" width="12.7109375" style="4" customWidth="1"/>
    <col min="11023" max="11023" width="13.7109375" style="4" customWidth="1"/>
    <col min="11024" max="11024" width="12.42578125" style="4" customWidth="1"/>
    <col min="11025" max="11264" width="8.7109375" style="4"/>
    <col min="11265" max="11265" width="55.7109375" style="4" customWidth="1"/>
    <col min="11266" max="11267" width="8.7109375" style="4"/>
    <col min="11268" max="11268" width="10.7109375" style="4" customWidth="1"/>
    <col min="11269" max="11269" width="110.28515625" style="4" customWidth="1"/>
    <col min="11270" max="11270" width="76.5703125" style="4" customWidth="1"/>
    <col min="11271" max="11271" width="14" style="4" bestFit="1" customWidth="1"/>
    <col min="11272" max="11278" width="12.7109375" style="4" customWidth="1"/>
    <col min="11279" max="11279" width="13.7109375" style="4" customWidth="1"/>
    <col min="11280" max="11280" width="12.42578125" style="4" customWidth="1"/>
    <col min="11281" max="11520" width="8.7109375" style="4"/>
    <col min="11521" max="11521" width="55.7109375" style="4" customWidth="1"/>
    <col min="11522" max="11523" width="8.7109375" style="4"/>
    <col min="11524" max="11524" width="10.7109375" style="4" customWidth="1"/>
    <col min="11525" max="11525" width="110.28515625" style="4" customWidth="1"/>
    <col min="11526" max="11526" width="76.5703125" style="4" customWidth="1"/>
    <col min="11527" max="11527" width="14" style="4" bestFit="1" customWidth="1"/>
    <col min="11528" max="11534" width="12.7109375" style="4" customWidth="1"/>
    <col min="11535" max="11535" width="13.7109375" style="4" customWidth="1"/>
    <col min="11536" max="11536" width="12.42578125" style="4" customWidth="1"/>
    <col min="11537" max="11776" width="8.7109375" style="4"/>
    <col min="11777" max="11777" width="55.7109375" style="4" customWidth="1"/>
    <col min="11778" max="11779" width="8.7109375" style="4"/>
    <col min="11780" max="11780" width="10.7109375" style="4" customWidth="1"/>
    <col min="11781" max="11781" width="110.28515625" style="4" customWidth="1"/>
    <col min="11782" max="11782" width="76.5703125" style="4" customWidth="1"/>
    <col min="11783" max="11783" width="14" style="4" bestFit="1" customWidth="1"/>
    <col min="11784" max="11790" width="12.7109375" style="4" customWidth="1"/>
    <col min="11791" max="11791" width="13.7109375" style="4" customWidth="1"/>
    <col min="11792" max="11792" width="12.42578125" style="4" customWidth="1"/>
    <col min="11793" max="12032" width="8.7109375" style="4"/>
    <col min="12033" max="12033" width="55.7109375" style="4" customWidth="1"/>
    <col min="12034" max="12035" width="8.7109375" style="4"/>
    <col min="12036" max="12036" width="10.7109375" style="4" customWidth="1"/>
    <col min="12037" max="12037" width="110.28515625" style="4" customWidth="1"/>
    <col min="12038" max="12038" width="76.5703125" style="4" customWidth="1"/>
    <col min="12039" max="12039" width="14" style="4" bestFit="1" customWidth="1"/>
    <col min="12040" max="12046" width="12.7109375" style="4" customWidth="1"/>
    <col min="12047" max="12047" width="13.7109375" style="4" customWidth="1"/>
    <col min="12048" max="12048" width="12.42578125" style="4" customWidth="1"/>
    <col min="12049" max="12288" width="8.7109375" style="4"/>
    <col min="12289" max="12289" width="55.7109375" style="4" customWidth="1"/>
    <col min="12290" max="12291" width="8.7109375" style="4"/>
    <col min="12292" max="12292" width="10.7109375" style="4" customWidth="1"/>
    <col min="12293" max="12293" width="110.28515625" style="4" customWidth="1"/>
    <col min="12294" max="12294" width="76.5703125" style="4" customWidth="1"/>
    <col min="12295" max="12295" width="14" style="4" bestFit="1" customWidth="1"/>
    <col min="12296" max="12302" width="12.7109375" style="4" customWidth="1"/>
    <col min="12303" max="12303" width="13.7109375" style="4" customWidth="1"/>
    <col min="12304" max="12304" width="12.42578125" style="4" customWidth="1"/>
    <col min="12305" max="12544" width="8.7109375" style="4"/>
    <col min="12545" max="12545" width="55.7109375" style="4" customWidth="1"/>
    <col min="12546" max="12547" width="8.7109375" style="4"/>
    <col min="12548" max="12548" width="10.7109375" style="4" customWidth="1"/>
    <col min="12549" max="12549" width="110.28515625" style="4" customWidth="1"/>
    <col min="12550" max="12550" width="76.5703125" style="4" customWidth="1"/>
    <col min="12551" max="12551" width="14" style="4" bestFit="1" customWidth="1"/>
    <col min="12552" max="12558" width="12.7109375" style="4" customWidth="1"/>
    <col min="12559" max="12559" width="13.7109375" style="4" customWidth="1"/>
    <col min="12560" max="12560" width="12.42578125" style="4" customWidth="1"/>
    <col min="12561" max="12800" width="8.7109375" style="4"/>
    <col min="12801" max="12801" width="55.7109375" style="4" customWidth="1"/>
    <col min="12802" max="12803" width="8.7109375" style="4"/>
    <col min="12804" max="12804" width="10.7109375" style="4" customWidth="1"/>
    <col min="12805" max="12805" width="110.28515625" style="4" customWidth="1"/>
    <col min="12806" max="12806" width="76.5703125" style="4" customWidth="1"/>
    <col min="12807" max="12807" width="14" style="4" bestFit="1" customWidth="1"/>
    <col min="12808" max="12814" width="12.7109375" style="4" customWidth="1"/>
    <col min="12815" max="12815" width="13.7109375" style="4" customWidth="1"/>
    <col min="12816" max="12816" width="12.42578125" style="4" customWidth="1"/>
    <col min="12817" max="13056" width="8.7109375" style="4"/>
    <col min="13057" max="13057" width="55.7109375" style="4" customWidth="1"/>
    <col min="13058" max="13059" width="8.7109375" style="4"/>
    <col min="13060" max="13060" width="10.7109375" style="4" customWidth="1"/>
    <col min="13061" max="13061" width="110.28515625" style="4" customWidth="1"/>
    <col min="13062" max="13062" width="76.5703125" style="4" customWidth="1"/>
    <col min="13063" max="13063" width="14" style="4" bestFit="1" customWidth="1"/>
    <col min="13064" max="13070" width="12.7109375" style="4" customWidth="1"/>
    <col min="13071" max="13071" width="13.7109375" style="4" customWidth="1"/>
    <col min="13072" max="13072" width="12.42578125" style="4" customWidth="1"/>
    <col min="13073" max="13312" width="8.7109375" style="4"/>
    <col min="13313" max="13313" width="55.7109375" style="4" customWidth="1"/>
    <col min="13314" max="13315" width="8.7109375" style="4"/>
    <col min="13316" max="13316" width="10.7109375" style="4" customWidth="1"/>
    <col min="13317" max="13317" width="110.28515625" style="4" customWidth="1"/>
    <col min="13318" max="13318" width="76.5703125" style="4" customWidth="1"/>
    <col min="13319" max="13319" width="14" style="4" bestFit="1" customWidth="1"/>
    <col min="13320" max="13326" width="12.7109375" style="4" customWidth="1"/>
    <col min="13327" max="13327" width="13.7109375" style="4" customWidth="1"/>
    <col min="13328" max="13328" width="12.42578125" style="4" customWidth="1"/>
    <col min="13329" max="13568" width="8.7109375" style="4"/>
    <col min="13569" max="13569" width="55.7109375" style="4" customWidth="1"/>
    <col min="13570" max="13571" width="8.7109375" style="4"/>
    <col min="13572" max="13572" width="10.7109375" style="4" customWidth="1"/>
    <col min="13573" max="13573" width="110.28515625" style="4" customWidth="1"/>
    <col min="13574" max="13574" width="76.5703125" style="4" customWidth="1"/>
    <col min="13575" max="13575" width="14" style="4" bestFit="1" customWidth="1"/>
    <col min="13576" max="13582" width="12.7109375" style="4" customWidth="1"/>
    <col min="13583" max="13583" width="13.7109375" style="4" customWidth="1"/>
    <col min="13584" max="13584" width="12.42578125" style="4" customWidth="1"/>
    <col min="13585" max="13824" width="8.7109375" style="4"/>
    <col min="13825" max="13825" width="55.7109375" style="4" customWidth="1"/>
    <col min="13826" max="13827" width="8.7109375" style="4"/>
    <col min="13828" max="13828" width="10.7109375" style="4" customWidth="1"/>
    <col min="13829" max="13829" width="110.28515625" style="4" customWidth="1"/>
    <col min="13830" max="13830" width="76.5703125" style="4" customWidth="1"/>
    <col min="13831" max="13831" width="14" style="4" bestFit="1" customWidth="1"/>
    <col min="13832" max="13838" width="12.7109375" style="4" customWidth="1"/>
    <col min="13839" max="13839" width="13.7109375" style="4" customWidth="1"/>
    <col min="13840" max="13840" width="12.42578125" style="4" customWidth="1"/>
    <col min="13841" max="14080" width="8.7109375" style="4"/>
    <col min="14081" max="14081" width="55.7109375" style="4" customWidth="1"/>
    <col min="14082" max="14083" width="8.7109375" style="4"/>
    <col min="14084" max="14084" width="10.7109375" style="4" customWidth="1"/>
    <col min="14085" max="14085" width="110.28515625" style="4" customWidth="1"/>
    <col min="14086" max="14086" width="76.5703125" style="4" customWidth="1"/>
    <col min="14087" max="14087" width="14" style="4" bestFit="1" customWidth="1"/>
    <col min="14088" max="14094" width="12.7109375" style="4" customWidth="1"/>
    <col min="14095" max="14095" width="13.7109375" style="4" customWidth="1"/>
    <col min="14096" max="14096" width="12.42578125" style="4" customWidth="1"/>
    <col min="14097" max="14336" width="8.7109375" style="4"/>
    <col min="14337" max="14337" width="55.7109375" style="4" customWidth="1"/>
    <col min="14338" max="14339" width="8.7109375" style="4"/>
    <col min="14340" max="14340" width="10.7109375" style="4" customWidth="1"/>
    <col min="14341" max="14341" width="110.28515625" style="4" customWidth="1"/>
    <col min="14342" max="14342" width="76.5703125" style="4" customWidth="1"/>
    <col min="14343" max="14343" width="14" style="4" bestFit="1" customWidth="1"/>
    <col min="14344" max="14350" width="12.7109375" style="4" customWidth="1"/>
    <col min="14351" max="14351" width="13.7109375" style="4" customWidth="1"/>
    <col min="14352" max="14352" width="12.42578125" style="4" customWidth="1"/>
    <col min="14353" max="14592" width="8.7109375" style="4"/>
    <col min="14593" max="14593" width="55.7109375" style="4" customWidth="1"/>
    <col min="14594" max="14595" width="8.7109375" style="4"/>
    <col min="14596" max="14596" width="10.7109375" style="4" customWidth="1"/>
    <col min="14597" max="14597" width="110.28515625" style="4" customWidth="1"/>
    <col min="14598" max="14598" width="76.5703125" style="4" customWidth="1"/>
    <col min="14599" max="14599" width="14" style="4" bestFit="1" customWidth="1"/>
    <col min="14600" max="14606" width="12.7109375" style="4" customWidth="1"/>
    <col min="14607" max="14607" width="13.7109375" style="4" customWidth="1"/>
    <col min="14608" max="14608" width="12.42578125" style="4" customWidth="1"/>
    <col min="14609" max="14848" width="8.7109375" style="4"/>
    <col min="14849" max="14849" width="55.7109375" style="4" customWidth="1"/>
    <col min="14850" max="14851" width="8.7109375" style="4"/>
    <col min="14852" max="14852" width="10.7109375" style="4" customWidth="1"/>
    <col min="14853" max="14853" width="110.28515625" style="4" customWidth="1"/>
    <col min="14854" max="14854" width="76.5703125" style="4" customWidth="1"/>
    <col min="14855" max="14855" width="14" style="4" bestFit="1" customWidth="1"/>
    <col min="14856" max="14862" width="12.7109375" style="4" customWidth="1"/>
    <col min="14863" max="14863" width="13.7109375" style="4" customWidth="1"/>
    <col min="14864" max="14864" width="12.42578125" style="4" customWidth="1"/>
    <col min="14865" max="15104" width="8.7109375" style="4"/>
    <col min="15105" max="15105" width="55.7109375" style="4" customWidth="1"/>
    <col min="15106" max="15107" width="8.7109375" style="4"/>
    <col min="15108" max="15108" width="10.7109375" style="4" customWidth="1"/>
    <col min="15109" max="15109" width="110.28515625" style="4" customWidth="1"/>
    <col min="15110" max="15110" width="76.5703125" style="4" customWidth="1"/>
    <col min="15111" max="15111" width="14" style="4" bestFit="1" customWidth="1"/>
    <col min="15112" max="15118" width="12.7109375" style="4" customWidth="1"/>
    <col min="15119" max="15119" width="13.7109375" style="4" customWidth="1"/>
    <col min="15120" max="15120" width="12.42578125" style="4" customWidth="1"/>
    <col min="15121" max="15360" width="8.7109375" style="4"/>
    <col min="15361" max="15361" width="55.7109375" style="4" customWidth="1"/>
    <col min="15362" max="15363" width="8.7109375" style="4"/>
    <col min="15364" max="15364" width="10.7109375" style="4" customWidth="1"/>
    <col min="15365" max="15365" width="110.28515625" style="4" customWidth="1"/>
    <col min="15366" max="15366" width="76.5703125" style="4" customWidth="1"/>
    <col min="15367" max="15367" width="14" style="4" bestFit="1" customWidth="1"/>
    <col min="15368" max="15374" width="12.7109375" style="4" customWidth="1"/>
    <col min="15375" max="15375" width="13.7109375" style="4" customWidth="1"/>
    <col min="15376" max="15376" width="12.42578125" style="4" customWidth="1"/>
    <col min="15377" max="15616" width="8.7109375" style="4"/>
    <col min="15617" max="15617" width="55.7109375" style="4" customWidth="1"/>
    <col min="15618" max="15619" width="8.7109375" style="4"/>
    <col min="15620" max="15620" width="10.7109375" style="4" customWidth="1"/>
    <col min="15621" max="15621" width="110.28515625" style="4" customWidth="1"/>
    <col min="15622" max="15622" width="76.5703125" style="4" customWidth="1"/>
    <col min="15623" max="15623" width="14" style="4" bestFit="1" customWidth="1"/>
    <col min="15624" max="15630" width="12.7109375" style="4" customWidth="1"/>
    <col min="15631" max="15631" width="13.7109375" style="4" customWidth="1"/>
    <col min="15632" max="15632" width="12.42578125" style="4" customWidth="1"/>
    <col min="15633" max="15872" width="8.7109375" style="4"/>
    <col min="15873" max="15873" width="55.7109375" style="4" customWidth="1"/>
    <col min="15874" max="15875" width="8.7109375" style="4"/>
    <col min="15876" max="15876" width="10.7109375" style="4" customWidth="1"/>
    <col min="15877" max="15877" width="110.28515625" style="4" customWidth="1"/>
    <col min="15878" max="15878" width="76.5703125" style="4" customWidth="1"/>
    <col min="15879" max="15879" width="14" style="4" bestFit="1" customWidth="1"/>
    <col min="15880" max="15886" width="12.7109375" style="4" customWidth="1"/>
    <col min="15887" max="15887" width="13.7109375" style="4" customWidth="1"/>
    <col min="15888" max="15888" width="12.42578125" style="4" customWidth="1"/>
    <col min="15889" max="16128" width="8.7109375" style="4"/>
    <col min="16129" max="16129" width="55.7109375" style="4" customWidth="1"/>
    <col min="16130" max="16131" width="8.7109375" style="4"/>
    <col min="16132" max="16132" width="10.7109375" style="4" customWidth="1"/>
    <col min="16133" max="16133" width="110.28515625" style="4" customWidth="1"/>
    <col min="16134" max="16134" width="76.5703125" style="4" customWidth="1"/>
    <col min="16135" max="16135" width="14" style="4" bestFit="1" customWidth="1"/>
    <col min="16136" max="16142" width="12.7109375" style="4" customWidth="1"/>
    <col min="16143" max="16143" width="13.7109375" style="4" customWidth="1"/>
    <col min="16144" max="16144" width="12.42578125" style="4" customWidth="1"/>
    <col min="16145" max="16384" width="8.7109375" style="4"/>
  </cols>
  <sheetData>
    <row r="1" spans="1:14" ht="45" x14ac:dyDescent="0.6">
      <c r="A1" s="19" t="s">
        <v>273</v>
      </c>
      <c r="I1" s="20"/>
    </row>
    <row r="2" spans="1:14" ht="33" customHeight="1" x14ac:dyDescent="0.3">
      <c r="A2" s="21" t="s">
        <v>26</v>
      </c>
      <c r="G2" s="21"/>
      <c r="I2" s="22"/>
    </row>
    <row r="3" spans="1:14" ht="43.5" customHeight="1" x14ac:dyDescent="0.25">
      <c r="A3" s="274" t="s">
        <v>15</v>
      </c>
      <c r="F3" s="275"/>
    </row>
    <row r="4" spans="1:14" x14ac:dyDescent="0.25">
      <c r="A4" s="23" t="s">
        <v>27</v>
      </c>
      <c r="B4" s="447" t="str">
        <f>IF('Proj.gegevens_invest.begroting'!D5&gt;0,'Proj.gegevens_invest.begroting'!D5,"")</f>
        <v/>
      </c>
      <c r="C4" s="448"/>
      <c r="D4" s="448"/>
      <c r="E4" s="449"/>
    </row>
    <row r="5" spans="1:14" x14ac:dyDescent="0.25">
      <c r="A5" s="7"/>
      <c r="B5" s="7"/>
      <c r="C5" s="7"/>
      <c r="D5" s="7"/>
      <c r="E5" s="7"/>
    </row>
    <row r="6" spans="1:14" x14ac:dyDescent="0.25">
      <c r="A6" s="23" t="s">
        <v>28</v>
      </c>
      <c r="B6" s="447" t="str">
        <f>IF('Proj.gegevens_invest.begroting'!D7&gt;0,'Proj.gegevens_invest.begroting'!D7,"")</f>
        <v/>
      </c>
      <c r="C6" s="448"/>
      <c r="D6" s="448"/>
      <c r="E6" s="449"/>
    </row>
    <row r="7" spans="1:14" x14ac:dyDescent="0.25">
      <c r="A7" s="7"/>
      <c r="B7" s="7"/>
      <c r="C7" s="7"/>
      <c r="D7" s="7"/>
      <c r="E7" s="7"/>
    </row>
    <row r="8" spans="1:14" s="23" customFormat="1" ht="12.75" x14ac:dyDescent="0.2">
      <c r="A8" s="23" t="s">
        <v>29</v>
      </c>
      <c r="B8" s="447" t="str">
        <f>Hulpblad_categorieën_parameters!C7</f>
        <v>Elektrolyser met aansluiting gekoppeld aan het elektriciteitsnet</v>
      </c>
      <c r="C8" s="448"/>
      <c r="D8" s="448"/>
      <c r="E8" s="449"/>
      <c r="F8" s="28"/>
      <c r="G8" s="28"/>
      <c r="H8" s="28"/>
      <c r="I8" s="28"/>
      <c r="J8" s="28"/>
      <c r="K8" s="28"/>
      <c r="L8" s="28"/>
      <c r="M8" s="28"/>
      <c r="N8" s="28"/>
    </row>
    <row r="9" spans="1:14" s="23" customFormat="1" x14ac:dyDescent="0.25">
      <c r="A9" s="266"/>
      <c r="C9" s="4"/>
      <c r="D9" s="4"/>
      <c r="E9" s="4"/>
      <c r="F9" s="28"/>
      <c r="G9" s="28"/>
      <c r="H9" s="28"/>
      <c r="I9" s="28"/>
      <c r="J9" s="28"/>
      <c r="K9" s="28"/>
      <c r="L9" s="28"/>
      <c r="M9" s="28"/>
      <c r="N9" s="28"/>
    </row>
    <row r="10" spans="1:14" ht="32.25" customHeight="1" x14ac:dyDescent="0.25">
      <c r="A10" s="274" t="s">
        <v>30</v>
      </c>
      <c r="B10" s="7"/>
      <c r="C10" s="7"/>
      <c r="D10" s="7"/>
      <c r="E10" s="7"/>
      <c r="F10" s="249"/>
    </row>
    <row r="11" spans="1:14" ht="12.75" customHeight="1" x14ac:dyDescent="0.25">
      <c r="A11" s="7" t="s">
        <v>294</v>
      </c>
      <c r="B11" s="486">
        <f>'Proj.gegevens_invest.begroting'!D10</f>
        <v>0</v>
      </c>
      <c r="C11" s="487"/>
      <c r="D11" s="276" t="s">
        <v>192</v>
      </c>
    </row>
    <row r="12" spans="1:14" ht="12.75" customHeight="1" x14ac:dyDescent="0.25">
      <c r="A12" s="7" t="s">
        <v>365</v>
      </c>
      <c r="B12" s="482">
        <f>'Proj.gegevens_invest.begroting'!D11</f>
        <v>0</v>
      </c>
      <c r="C12" s="483"/>
      <c r="D12" s="276" t="s">
        <v>283</v>
      </c>
    </row>
    <row r="13" spans="1:14" ht="12.75" customHeight="1" x14ac:dyDescent="0.25">
      <c r="A13" s="7" t="s">
        <v>351</v>
      </c>
      <c r="B13" s="488">
        <f>'Proj.gegevens_invest.begroting'!D15</f>
        <v>0</v>
      </c>
      <c r="C13" s="489"/>
      <c r="D13" s="4" t="s">
        <v>282</v>
      </c>
      <c r="F13" s="23"/>
    </row>
    <row r="14" spans="1:14" ht="12.75" customHeight="1" x14ac:dyDescent="0.25">
      <c r="A14" s="7" t="s">
        <v>352</v>
      </c>
      <c r="B14" s="488">
        <f>'Proj.gegevens_invest.begroting'!D16</f>
        <v>0</v>
      </c>
      <c r="C14" s="489"/>
      <c r="D14" s="4" t="s">
        <v>285</v>
      </c>
      <c r="F14" s="23"/>
    </row>
    <row r="15" spans="1:14" ht="12.75" customHeight="1" x14ac:dyDescent="0.25">
      <c r="A15" s="7" t="s">
        <v>353</v>
      </c>
      <c r="B15" s="488">
        <f>'Proj.gegevens_invest.begroting'!D20</f>
        <v>0</v>
      </c>
      <c r="C15" s="489"/>
      <c r="D15" s="30" t="s">
        <v>282</v>
      </c>
      <c r="E15" s="484" t="s">
        <v>366</v>
      </c>
      <c r="F15" s="277"/>
    </row>
    <row r="16" spans="1:14" ht="12.75" customHeight="1" x14ac:dyDescent="0.25">
      <c r="A16" s="7" t="s">
        <v>354</v>
      </c>
      <c r="B16" s="488">
        <f>'Proj.gegevens_invest.begroting'!D21</f>
        <v>0</v>
      </c>
      <c r="C16" s="493"/>
      <c r="D16" s="276" t="s">
        <v>285</v>
      </c>
      <c r="E16" s="485"/>
      <c r="F16" s="277"/>
    </row>
    <row r="17" spans="1:15" ht="12.75" customHeight="1" x14ac:dyDescent="0.25">
      <c r="A17" s="7" t="s">
        <v>355</v>
      </c>
      <c r="B17" s="339"/>
      <c r="C17" s="345">
        <f>'Proj.gegevens_invest.begroting'!D25</f>
        <v>0</v>
      </c>
      <c r="D17" s="276" t="s">
        <v>282</v>
      </c>
      <c r="E17" s="485"/>
      <c r="F17" s="277"/>
    </row>
    <row r="18" spans="1:15" ht="12.75" customHeight="1" x14ac:dyDescent="0.25">
      <c r="A18" s="7" t="s">
        <v>356</v>
      </c>
      <c r="B18" s="339"/>
      <c r="C18" s="345">
        <f>'Proj.gegevens_invest.begroting'!D26</f>
        <v>0</v>
      </c>
      <c r="D18" s="276" t="s">
        <v>285</v>
      </c>
      <c r="E18" s="485"/>
      <c r="F18" s="277"/>
    </row>
    <row r="19" spans="1:15" ht="12.75" customHeight="1" x14ac:dyDescent="0.25">
      <c r="A19" s="7" t="s">
        <v>357</v>
      </c>
      <c r="B19" s="339"/>
      <c r="C19" s="344">
        <f>'Proj.gegevens_invest.begroting'!D30</f>
        <v>0</v>
      </c>
      <c r="D19" s="276" t="s">
        <v>282</v>
      </c>
      <c r="E19" s="278"/>
      <c r="F19" s="277"/>
    </row>
    <row r="20" spans="1:15" ht="12.75" customHeight="1" x14ac:dyDescent="0.25">
      <c r="A20" s="7" t="s">
        <v>358</v>
      </c>
      <c r="B20" s="339"/>
      <c r="C20" s="344">
        <f>'Proj.gegevens_invest.begroting'!D31</f>
        <v>0</v>
      </c>
      <c r="D20" s="276" t="s">
        <v>285</v>
      </c>
      <c r="E20" s="278"/>
      <c r="F20" s="277"/>
    </row>
    <row r="21" spans="1:15" ht="12.75" customHeight="1" x14ac:dyDescent="0.25">
      <c r="A21" s="7" t="s">
        <v>359</v>
      </c>
      <c r="B21" s="488">
        <f>B13+B15</f>
        <v>0</v>
      </c>
      <c r="C21" s="493"/>
      <c r="D21" s="30" t="s">
        <v>282</v>
      </c>
      <c r="E21" s="279"/>
      <c r="F21" s="23"/>
    </row>
    <row r="22" spans="1:15" ht="12.75" customHeight="1" x14ac:dyDescent="0.25">
      <c r="A22" s="7" t="s">
        <v>360</v>
      </c>
      <c r="B22" s="496">
        <f>B14+B16</f>
        <v>0</v>
      </c>
      <c r="C22" s="497"/>
      <c r="D22" s="30" t="s">
        <v>285</v>
      </c>
      <c r="E22" s="279"/>
      <c r="F22" s="23"/>
    </row>
    <row r="23" spans="1:15" ht="12.75" customHeight="1" x14ac:dyDescent="0.25">
      <c r="A23" s="23"/>
      <c r="B23" s="280"/>
      <c r="C23" s="281"/>
      <c r="D23" s="30"/>
      <c r="E23" s="279"/>
      <c r="F23" s="23"/>
    </row>
    <row r="24" spans="1:15" ht="12.75" customHeight="1" x14ac:dyDescent="0.25">
      <c r="A24" s="7" t="s">
        <v>362</v>
      </c>
      <c r="B24" s="498">
        <f>'Proj.gegevens_invest.begroting'!D17</f>
        <v>0</v>
      </c>
      <c r="C24" s="499"/>
      <c r="D24" s="30"/>
      <c r="E24" s="255"/>
    </row>
    <row r="25" spans="1:15" ht="12.75" customHeight="1" x14ac:dyDescent="0.25">
      <c r="A25" s="7" t="s">
        <v>361</v>
      </c>
      <c r="B25" s="494">
        <f>'Proj.gegevens_invest.begroting'!D22</f>
        <v>0</v>
      </c>
      <c r="C25" s="495"/>
      <c r="D25" s="30"/>
      <c r="E25" s="255"/>
    </row>
    <row r="26" spans="1:15" ht="12.75" customHeight="1" x14ac:dyDescent="0.25">
      <c r="A26" s="7" t="s">
        <v>363</v>
      </c>
      <c r="B26" s="339"/>
      <c r="C26" s="346">
        <f>'Proj.gegevens_invest.begroting'!D27</f>
        <v>0</v>
      </c>
      <c r="D26" s="30"/>
      <c r="E26" s="255"/>
    </row>
    <row r="27" spans="1:15" ht="12.75" customHeight="1" x14ac:dyDescent="0.25">
      <c r="A27" s="7" t="s">
        <v>364</v>
      </c>
      <c r="B27" s="340"/>
      <c r="C27" s="347">
        <f>'Proj.gegevens_invest.begroting'!D32</f>
        <v>0</v>
      </c>
      <c r="D27" s="30"/>
      <c r="E27" s="255"/>
    </row>
    <row r="28" spans="1:15" ht="12.75" customHeight="1" x14ac:dyDescent="0.25">
      <c r="A28" s="7"/>
      <c r="B28" s="280"/>
      <c r="C28" s="282"/>
      <c r="D28" s="30"/>
      <c r="E28" s="255"/>
    </row>
    <row r="29" spans="1:15" ht="12.75" customHeight="1" x14ac:dyDescent="0.25">
      <c r="A29" s="23" t="s">
        <v>284</v>
      </c>
      <c r="B29" s="500">
        <f>B13</f>
        <v>0</v>
      </c>
      <c r="C29" s="500"/>
      <c r="D29" s="30" t="s">
        <v>286</v>
      </c>
      <c r="E29" s="255"/>
    </row>
    <row r="30" spans="1:15" ht="12.75" customHeight="1" x14ac:dyDescent="0.25">
      <c r="C30" s="263"/>
      <c r="D30" s="257"/>
      <c r="E30" s="25"/>
    </row>
    <row r="31" spans="1:15" ht="24" customHeight="1" x14ac:dyDescent="0.4">
      <c r="A31" s="274" t="s">
        <v>31</v>
      </c>
      <c r="D31" s="32"/>
      <c r="E31" s="23"/>
      <c r="F31" s="23"/>
      <c r="G31" s="23"/>
      <c r="H31" s="23"/>
      <c r="I31" s="23"/>
      <c r="J31" s="23"/>
      <c r="K31" s="23"/>
      <c r="L31" s="23"/>
      <c r="M31" s="23"/>
      <c r="N31" s="23"/>
      <c r="O31" s="23"/>
    </row>
    <row r="32" spans="1:15" ht="135" customHeight="1" x14ac:dyDescent="0.25">
      <c r="A32" s="501" t="str">
        <f>VLOOKUP(Hulpblad_overig!A69,Hulpblad_overig!A64:B66,2,FALSE)</f>
        <v xml:space="preserve">Ter onderbouwing geeft u een beschrijving van uw productie-installatie voor waterstof en een beschrijving van het wind- en/of zonnepark(en) waarmee voor de waterstofproductie-installatie een stroomcontract (PPA) beoogt te worden afgesloten. Daarnaast geeft u een onderbouwing van de jaarlijkse hoeveelheid waterstofproductie met hierbij een waterstofopbrengstberekening.  
Verder onderbouwt u dat uw waterstof productie-installatie voornamelijk in staat is alleen te produceren op de electriciteitsproductie van het wind- en/of zonnepark(en) waarmee voor de waterstofproductie-installatie een stroomcontract (PPA) beoogt te worden afgesloten. </v>
      </c>
      <c r="B32" s="502"/>
      <c r="C32" s="502"/>
      <c r="D32" s="502"/>
      <c r="E32" s="503"/>
      <c r="F32" s="283"/>
    </row>
    <row r="33" spans="1:16" ht="18.75" customHeight="1" x14ac:dyDescent="0.25">
      <c r="A33" s="3"/>
      <c r="B33" s="2"/>
      <c r="C33" s="2"/>
      <c r="D33" s="2"/>
      <c r="E33" s="2"/>
    </row>
    <row r="34" spans="1:16" ht="24" customHeight="1" x14ac:dyDescent="0.25">
      <c r="A34" s="274" t="s">
        <v>292</v>
      </c>
      <c r="B34" s="2"/>
      <c r="C34" s="2"/>
      <c r="D34" s="2"/>
      <c r="E34" s="2"/>
    </row>
    <row r="35" spans="1:16" ht="76.5" customHeight="1" x14ac:dyDescent="0.25">
      <c r="A35" s="490" t="s">
        <v>293</v>
      </c>
      <c r="B35" s="491"/>
      <c r="C35" s="491"/>
      <c r="D35" s="491"/>
      <c r="E35" s="492"/>
      <c r="F35" s="7"/>
      <c r="G35" s="31"/>
      <c r="H35" s="25"/>
      <c r="I35" s="25"/>
      <c r="J35" s="25"/>
      <c r="K35" s="25"/>
      <c r="L35" s="25"/>
      <c r="M35" s="25"/>
      <c r="N35" s="25"/>
      <c r="O35" s="25"/>
    </row>
    <row r="36" spans="1:16" ht="18.75" customHeight="1" x14ac:dyDescent="0.25">
      <c r="B36" s="4"/>
      <c r="C36" s="7"/>
      <c r="D36" s="7"/>
      <c r="E36" s="7"/>
      <c r="G36" s="31"/>
      <c r="H36" s="262"/>
      <c r="I36" s="25"/>
      <c r="J36" s="25"/>
      <c r="K36" s="25"/>
      <c r="L36" s="25"/>
      <c r="M36" s="25"/>
      <c r="N36" s="25"/>
      <c r="O36" s="25"/>
    </row>
    <row r="37" spans="1:16" s="23" customFormat="1" ht="18" x14ac:dyDescent="0.25">
      <c r="A37" s="21"/>
      <c r="G37" s="27"/>
      <c r="H37" s="28"/>
      <c r="I37" s="28"/>
      <c r="J37" s="28"/>
      <c r="K37" s="28"/>
      <c r="L37" s="28"/>
      <c r="M37" s="28"/>
      <c r="N37" s="28"/>
      <c r="O37" s="28"/>
      <c r="P37" s="28"/>
    </row>
    <row r="38" spans="1:16" s="23" customFormat="1" x14ac:dyDescent="0.25">
      <c r="D38" s="4"/>
      <c r="E38" s="4"/>
      <c r="G38" s="27"/>
      <c r="H38" s="28"/>
      <c r="I38" s="28"/>
      <c r="J38" s="28"/>
      <c r="K38" s="28"/>
      <c r="L38" s="28"/>
      <c r="M38" s="28"/>
      <c r="N38" s="28"/>
      <c r="O38" s="28"/>
      <c r="P38" s="28"/>
    </row>
    <row r="39" spans="1:16" s="23" customFormat="1" x14ac:dyDescent="0.25">
      <c r="A39" s="7"/>
      <c r="D39" s="4"/>
      <c r="E39" s="4"/>
      <c r="G39" s="27"/>
      <c r="H39" s="28"/>
      <c r="I39" s="28"/>
      <c r="J39" s="28"/>
      <c r="K39" s="28"/>
      <c r="L39" s="28"/>
      <c r="M39" s="28"/>
      <c r="N39" s="28"/>
      <c r="O39" s="28"/>
      <c r="P39" s="28"/>
    </row>
    <row r="40" spans="1:16" s="23" customFormat="1" x14ac:dyDescent="0.25">
      <c r="A40" s="7"/>
      <c r="D40" s="4"/>
      <c r="E40" s="271"/>
      <c r="G40" s="27"/>
      <c r="H40" s="28"/>
      <c r="I40" s="28"/>
      <c r="J40" s="28"/>
      <c r="K40" s="28"/>
      <c r="L40" s="28"/>
      <c r="M40" s="28"/>
      <c r="N40" s="28"/>
      <c r="O40" s="28"/>
      <c r="P40" s="28"/>
    </row>
    <row r="41" spans="1:16" s="23" customFormat="1" x14ac:dyDescent="0.25">
      <c r="A41" s="7"/>
      <c r="D41" s="4"/>
      <c r="E41" s="8"/>
      <c r="G41" s="27"/>
      <c r="H41" s="28"/>
      <c r="I41" s="28"/>
      <c r="J41" s="28"/>
      <c r="K41" s="28"/>
      <c r="L41" s="28"/>
      <c r="M41" s="28"/>
      <c r="N41" s="28"/>
      <c r="O41" s="28"/>
      <c r="P41" s="28"/>
    </row>
    <row r="42" spans="1:16" s="23" customFormat="1" x14ac:dyDescent="0.25">
      <c r="D42" s="4"/>
      <c r="E42" s="8"/>
      <c r="G42" s="27"/>
      <c r="H42" s="28"/>
      <c r="I42" s="28"/>
      <c r="J42" s="28"/>
      <c r="K42" s="28"/>
      <c r="L42" s="28"/>
      <c r="M42" s="28"/>
      <c r="N42" s="28"/>
      <c r="O42" s="28"/>
      <c r="P42" s="28"/>
    </row>
    <row r="43" spans="1:16" s="23" customFormat="1" x14ac:dyDescent="0.25">
      <c r="A43" s="7"/>
      <c r="D43" s="4"/>
      <c r="E43" s="8"/>
      <c r="G43" s="27"/>
      <c r="H43" s="28"/>
      <c r="I43" s="28"/>
      <c r="J43" s="28"/>
      <c r="K43" s="28"/>
      <c r="L43" s="28"/>
      <c r="M43" s="28"/>
      <c r="N43" s="28"/>
      <c r="O43" s="28"/>
      <c r="P43" s="28"/>
    </row>
    <row r="44" spans="1:16" s="23" customFormat="1" x14ac:dyDescent="0.25">
      <c r="A44" s="7"/>
      <c r="D44" s="4"/>
      <c r="E44" s="271"/>
      <c r="G44" s="27"/>
      <c r="H44" s="28"/>
      <c r="I44" s="28"/>
      <c r="J44" s="28"/>
      <c r="K44" s="28"/>
      <c r="L44" s="28"/>
      <c r="M44" s="28"/>
      <c r="N44" s="28"/>
      <c r="O44" s="28"/>
      <c r="P44" s="28"/>
    </row>
    <row r="45" spans="1:16" s="23" customFormat="1" x14ac:dyDescent="0.25">
      <c r="A45" s="7"/>
      <c r="D45" s="4"/>
      <c r="E45" s="8"/>
      <c r="G45" s="27"/>
      <c r="H45" s="28"/>
      <c r="I45" s="28"/>
      <c r="J45" s="28"/>
      <c r="K45" s="28"/>
      <c r="L45" s="28"/>
      <c r="M45" s="28"/>
      <c r="N45" s="28"/>
      <c r="O45" s="28"/>
      <c r="P45" s="28"/>
    </row>
    <row r="46" spans="1:16" s="23" customFormat="1" x14ac:dyDescent="0.25">
      <c r="A46" s="7"/>
      <c r="D46" s="4"/>
      <c r="E46" s="284"/>
      <c r="G46" s="27"/>
      <c r="H46" s="28"/>
      <c r="I46" s="28"/>
      <c r="J46" s="28"/>
      <c r="K46" s="28"/>
      <c r="L46" s="28"/>
      <c r="M46" s="28"/>
      <c r="N46" s="28"/>
      <c r="O46" s="28"/>
      <c r="P46" s="28"/>
    </row>
    <row r="47" spans="1:16" s="23" customFormat="1" x14ac:dyDescent="0.25">
      <c r="A47" s="7"/>
      <c r="D47" s="4"/>
      <c r="E47" s="285"/>
      <c r="G47" s="27"/>
      <c r="H47" s="28"/>
      <c r="I47" s="28"/>
      <c r="J47" s="28"/>
      <c r="K47" s="28"/>
      <c r="L47" s="28"/>
      <c r="M47" s="28"/>
      <c r="N47" s="28"/>
      <c r="O47" s="28"/>
      <c r="P47" s="28"/>
    </row>
    <row r="48" spans="1:16" s="23" customFormat="1" x14ac:dyDescent="0.25">
      <c r="A48" s="4"/>
      <c r="D48" s="4"/>
      <c r="E48" s="33"/>
      <c r="G48" s="27"/>
      <c r="H48" s="28"/>
      <c r="I48" s="28"/>
      <c r="J48" s="28"/>
      <c r="K48" s="28"/>
      <c r="L48" s="28"/>
      <c r="M48" s="28"/>
      <c r="N48" s="28"/>
      <c r="O48" s="28"/>
      <c r="P48" s="28"/>
    </row>
    <row r="49" spans="1:15" ht="18" x14ac:dyDescent="0.25">
      <c r="A49" s="21"/>
      <c r="G49" s="8"/>
      <c r="H49" s="25"/>
      <c r="I49" s="25"/>
      <c r="J49" s="25"/>
      <c r="K49" s="25"/>
      <c r="L49" s="25"/>
      <c r="M49" s="25"/>
      <c r="N49" s="25"/>
      <c r="O49" s="25"/>
    </row>
    <row r="50" spans="1:15" x14ac:dyDescent="0.25">
      <c r="A50" s="23"/>
      <c r="H50" s="25"/>
      <c r="I50" s="25"/>
      <c r="J50" s="25"/>
      <c r="K50" s="25"/>
      <c r="L50" s="25"/>
      <c r="M50" s="25"/>
      <c r="N50" s="25"/>
      <c r="O50" s="25"/>
    </row>
    <row r="51" spans="1:15" ht="12.75" customHeight="1" x14ac:dyDescent="0.25">
      <c r="A51" s="7"/>
      <c r="H51" s="25"/>
      <c r="I51" s="25"/>
      <c r="J51" s="25"/>
      <c r="K51" s="25"/>
      <c r="L51" s="25"/>
      <c r="M51" s="25"/>
      <c r="N51" s="25"/>
      <c r="O51" s="25"/>
    </row>
    <row r="52" spans="1:15" ht="12.75" customHeight="1" x14ac:dyDescent="0.25">
      <c r="A52" s="7"/>
      <c r="E52" s="31"/>
      <c r="H52" s="25"/>
      <c r="I52" s="25"/>
      <c r="J52" s="25"/>
      <c r="K52" s="25"/>
      <c r="L52" s="25"/>
      <c r="M52" s="25"/>
      <c r="N52" s="25"/>
      <c r="O52" s="25"/>
    </row>
    <row r="53" spans="1:15" ht="12.75" customHeight="1" x14ac:dyDescent="0.25">
      <c r="A53" s="7"/>
      <c r="E53" s="286"/>
      <c r="F53" s="7"/>
      <c r="H53" s="25"/>
      <c r="I53" s="25"/>
      <c r="J53" s="25"/>
      <c r="K53" s="25"/>
      <c r="L53" s="25"/>
      <c r="M53" s="25"/>
      <c r="N53" s="25"/>
      <c r="O53" s="25"/>
    </row>
    <row r="54" spans="1:15" ht="12.75" customHeight="1" x14ac:dyDescent="0.25">
      <c r="A54" s="23"/>
      <c r="E54" s="287"/>
      <c r="H54" s="25"/>
      <c r="I54" s="25"/>
      <c r="J54" s="25"/>
      <c r="K54" s="25"/>
      <c r="L54" s="25"/>
      <c r="M54" s="25"/>
      <c r="N54" s="25"/>
      <c r="O54" s="25"/>
    </row>
    <row r="55" spans="1:15" ht="12.75" customHeight="1" x14ac:dyDescent="0.25">
      <c r="A55" s="21"/>
      <c r="E55" s="287"/>
      <c r="H55" s="27"/>
      <c r="I55" s="27"/>
      <c r="J55" s="27"/>
      <c r="K55" s="27"/>
      <c r="L55" s="27"/>
      <c r="M55" s="27"/>
      <c r="N55" s="27"/>
      <c r="O55" s="27"/>
    </row>
    <row r="56" spans="1:15" ht="12.75" customHeight="1" x14ac:dyDescent="0.25">
      <c r="A56" s="23"/>
      <c r="H56" s="25"/>
      <c r="I56" s="25"/>
      <c r="J56" s="25"/>
      <c r="K56" s="25"/>
      <c r="L56" s="25"/>
      <c r="M56" s="25"/>
      <c r="N56" s="25"/>
      <c r="O56" s="25"/>
    </row>
    <row r="57" spans="1:15" x14ac:dyDescent="0.25">
      <c r="A57" s="7"/>
      <c r="H57" s="25"/>
      <c r="I57" s="25"/>
      <c r="J57" s="25"/>
      <c r="K57" s="25"/>
      <c r="L57" s="25"/>
      <c r="M57" s="25"/>
      <c r="N57" s="25"/>
      <c r="O57" s="25"/>
    </row>
    <row r="58" spans="1:15" ht="12.75" customHeight="1" x14ac:dyDescent="0.25">
      <c r="A58" s="7"/>
      <c r="E58" s="8"/>
      <c r="H58" s="25"/>
      <c r="I58" s="25"/>
      <c r="J58" s="25"/>
      <c r="K58" s="25"/>
      <c r="L58" s="25"/>
      <c r="M58" s="25"/>
      <c r="N58" s="25"/>
      <c r="O58" s="25"/>
    </row>
    <row r="59" spans="1:15" ht="12.75" customHeight="1" x14ac:dyDescent="0.25">
      <c r="A59" s="7"/>
      <c r="E59" s="286"/>
      <c r="H59" s="25"/>
      <c r="I59" s="25"/>
      <c r="J59" s="25"/>
      <c r="K59" s="25"/>
      <c r="L59" s="25"/>
      <c r="M59" s="25"/>
      <c r="N59" s="25"/>
      <c r="O59" s="25"/>
    </row>
    <row r="60" spans="1:15" ht="12.75" customHeight="1" x14ac:dyDescent="0.25">
      <c r="A60" s="7"/>
      <c r="E60" s="34"/>
      <c r="H60" s="25"/>
      <c r="I60" s="25"/>
      <c r="J60" s="25"/>
      <c r="K60" s="25"/>
      <c r="L60" s="25"/>
      <c r="M60" s="25"/>
      <c r="N60" s="25"/>
      <c r="O60" s="25"/>
    </row>
    <row r="61" spans="1:15" ht="12.75" customHeight="1" x14ac:dyDescent="0.25">
      <c r="A61" s="7"/>
      <c r="E61" s="287"/>
      <c r="H61" s="25"/>
      <c r="I61" s="25"/>
      <c r="J61" s="25"/>
      <c r="K61" s="25"/>
      <c r="L61" s="25"/>
      <c r="M61" s="25"/>
      <c r="N61" s="25"/>
      <c r="O61" s="25"/>
    </row>
    <row r="62" spans="1:15" ht="12.75" customHeight="1" x14ac:dyDescent="0.25">
      <c r="A62" s="23"/>
      <c r="E62" s="287"/>
      <c r="H62" s="34"/>
      <c r="I62" s="34"/>
      <c r="J62" s="34"/>
      <c r="K62" s="34"/>
      <c r="L62" s="34"/>
      <c r="M62" s="34"/>
      <c r="N62" s="34"/>
      <c r="O62" s="34"/>
    </row>
    <row r="63" spans="1:15" ht="12.75" customHeight="1" x14ac:dyDescent="0.25">
      <c r="A63" s="23"/>
      <c r="E63" s="287"/>
      <c r="H63" s="27"/>
      <c r="I63" s="27"/>
      <c r="J63" s="27"/>
      <c r="K63" s="27"/>
      <c r="L63" s="27"/>
      <c r="M63" s="27"/>
      <c r="N63" s="27"/>
      <c r="O63" s="27"/>
    </row>
    <row r="64" spans="1:15" ht="12.75" customHeight="1" x14ac:dyDescent="0.25">
      <c r="A64" s="23"/>
      <c r="E64" s="287"/>
      <c r="H64" s="27"/>
      <c r="J64" s="27"/>
      <c r="K64" s="27"/>
      <c r="L64" s="27"/>
      <c r="M64" s="27"/>
      <c r="N64" s="27"/>
      <c r="O64" s="27"/>
    </row>
    <row r="65" spans="1:15" x14ac:dyDescent="0.25">
      <c r="B65" s="10"/>
      <c r="H65" s="25"/>
      <c r="I65" s="25"/>
      <c r="J65" s="25"/>
      <c r="K65" s="25"/>
      <c r="L65" s="25"/>
      <c r="M65" s="25"/>
      <c r="N65" s="25"/>
      <c r="O65" s="25"/>
    </row>
    <row r="66" spans="1:15" x14ac:dyDescent="0.25">
      <c r="B66" s="7"/>
      <c r="C66" s="10"/>
      <c r="D66" s="10"/>
      <c r="E66" s="10"/>
      <c r="G66" s="25"/>
      <c r="H66" s="8"/>
      <c r="I66" s="8"/>
      <c r="J66" s="8"/>
      <c r="K66" s="8"/>
      <c r="L66" s="8"/>
      <c r="M66" s="8"/>
      <c r="N66" s="8"/>
      <c r="O66" s="8"/>
    </row>
    <row r="67" spans="1:15" x14ac:dyDescent="0.25">
      <c r="A67" s="23"/>
      <c r="C67" s="7"/>
      <c r="D67" s="7"/>
      <c r="E67" s="7"/>
      <c r="G67" s="25"/>
      <c r="H67" s="8"/>
      <c r="I67" s="8"/>
      <c r="J67" s="8"/>
      <c r="K67" s="8"/>
      <c r="L67" s="8"/>
      <c r="M67" s="8"/>
      <c r="N67" s="8"/>
      <c r="O67" s="8"/>
    </row>
    <row r="68" spans="1:15" x14ac:dyDescent="0.25">
      <c r="G68" s="25"/>
      <c r="H68" s="27"/>
      <c r="I68" s="27"/>
      <c r="J68" s="27"/>
      <c r="K68" s="27"/>
      <c r="L68" s="27"/>
      <c r="M68" s="27"/>
      <c r="N68" s="27"/>
      <c r="O68" s="27"/>
    </row>
    <row r="69" spans="1:15" x14ac:dyDescent="0.25">
      <c r="A69" s="35"/>
      <c r="G69" s="25"/>
      <c r="H69" s="8"/>
      <c r="I69" s="8"/>
      <c r="J69" s="8"/>
      <c r="K69" s="8"/>
      <c r="L69" s="8"/>
      <c r="M69" s="8"/>
      <c r="N69" s="8"/>
      <c r="O69" s="8"/>
    </row>
    <row r="70" spans="1:15" s="23" customFormat="1" x14ac:dyDescent="0.25">
      <c r="A70" s="4"/>
      <c r="G70" s="28"/>
      <c r="H70" s="27"/>
      <c r="I70" s="27"/>
      <c r="J70" s="27"/>
      <c r="K70" s="27"/>
      <c r="L70" s="27"/>
      <c r="M70" s="27"/>
      <c r="N70" s="27"/>
      <c r="O70" s="27"/>
    </row>
    <row r="71" spans="1:15" ht="18" x14ac:dyDescent="0.25">
      <c r="A71" s="21"/>
      <c r="H71" s="8"/>
      <c r="I71" s="8"/>
      <c r="J71" s="8"/>
      <c r="K71" s="8"/>
      <c r="L71" s="8"/>
      <c r="M71" s="8"/>
      <c r="N71" s="8"/>
      <c r="O71" s="8"/>
    </row>
    <row r="72" spans="1:15" x14ac:dyDescent="0.25">
      <c r="A72" s="7"/>
      <c r="H72" s="25"/>
      <c r="I72" s="25"/>
      <c r="J72" s="25"/>
      <c r="K72" s="25"/>
      <c r="L72" s="25"/>
      <c r="M72" s="25"/>
      <c r="N72" s="25"/>
      <c r="O72" s="25"/>
    </row>
    <row r="73" spans="1:15" x14ac:dyDescent="0.25">
      <c r="B73" s="10"/>
      <c r="H73" s="25"/>
      <c r="I73" s="25"/>
      <c r="J73" s="25"/>
      <c r="K73" s="25"/>
      <c r="L73" s="25"/>
      <c r="M73" s="25"/>
      <c r="N73" s="25"/>
      <c r="O73" s="27"/>
    </row>
    <row r="74" spans="1:15" x14ac:dyDescent="0.25">
      <c r="B74" s="25"/>
      <c r="C74" s="10"/>
      <c r="D74" s="10"/>
      <c r="E74" s="10"/>
      <c r="G74" s="8"/>
      <c r="H74" s="8"/>
      <c r="I74" s="8"/>
      <c r="J74" s="8"/>
      <c r="K74" s="8"/>
      <c r="L74" s="8"/>
      <c r="M74" s="8"/>
      <c r="N74" s="8"/>
      <c r="O74" s="8"/>
    </row>
    <row r="75" spans="1:15" x14ac:dyDescent="0.25">
      <c r="B75" s="25"/>
      <c r="C75" s="25"/>
      <c r="D75" s="25"/>
      <c r="E75" s="25"/>
      <c r="G75" s="8"/>
      <c r="H75" s="8"/>
      <c r="I75" s="8"/>
      <c r="J75" s="8"/>
      <c r="K75" s="8"/>
      <c r="L75" s="8"/>
      <c r="M75" s="8"/>
      <c r="N75" s="8"/>
      <c r="O75" s="8"/>
    </row>
    <row r="76" spans="1:15" x14ac:dyDescent="0.25">
      <c r="B76" s="25"/>
      <c r="C76" s="25"/>
      <c r="D76" s="25"/>
      <c r="E76" s="25"/>
      <c r="G76" s="8"/>
      <c r="H76" s="8"/>
      <c r="I76" s="8"/>
      <c r="J76" s="8"/>
      <c r="K76" s="8"/>
      <c r="L76" s="8"/>
      <c r="M76" s="8"/>
      <c r="N76" s="8"/>
      <c r="O76" s="8"/>
    </row>
    <row r="77" spans="1:15" x14ac:dyDescent="0.25">
      <c r="B77" s="10"/>
      <c r="C77" s="25"/>
      <c r="D77" s="25"/>
      <c r="E77" s="25"/>
      <c r="G77" s="8"/>
      <c r="H77" s="8"/>
      <c r="I77" s="8"/>
      <c r="J77" s="8"/>
      <c r="K77" s="8"/>
      <c r="L77" s="8"/>
      <c r="M77" s="8"/>
      <c r="N77" s="8"/>
      <c r="O77" s="8"/>
    </row>
    <row r="78" spans="1:15" x14ac:dyDescent="0.25">
      <c r="B78" s="25"/>
      <c r="C78" s="10"/>
      <c r="D78" s="10"/>
      <c r="E78" s="10"/>
      <c r="G78" s="8"/>
      <c r="H78" s="8"/>
      <c r="I78" s="8"/>
      <c r="J78" s="8"/>
      <c r="K78" s="8"/>
      <c r="L78" s="8"/>
      <c r="M78" s="8"/>
      <c r="N78" s="8"/>
      <c r="O78" s="8"/>
    </row>
    <row r="79" spans="1:15" x14ac:dyDescent="0.25">
      <c r="B79" s="25"/>
      <c r="C79" s="25"/>
      <c r="D79" s="25"/>
      <c r="E79" s="25"/>
      <c r="G79" s="8"/>
      <c r="H79" s="8"/>
      <c r="I79" s="8"/>
      <c r="J79" s="8"/>
      <c r="K79" s="8"/>
      <c r="L79" s="8"/>
      <c r="M79" s="8"/>
      <c r="N79" s="8"/>
      <c r="O79" s="8"/>
    </row>
    <row r="80" spans="1:15" x14ac:dyDescent="0.25">
      <c r="B80" s="25"/>
      <c r="C80" s="25"/>
      <c r="D80" s="25"/>
      <c r="E80" s="25"/>
      <c r="G80" s="8"/>
      <c r="H80" s="8"/>
      <c r="I80" s="8"/>
      <c r="J80" s="8"/>
      <c r="K80" s="8"/>
      <c r="L80" s="8"/>
      <c r="M80" s="8"/>
      <c r="N80" s="8"/>
      <c r="O80" s="8"/>
    </row>
    <row r="81" spans="1:15" x14ac:dyDescent="0.25">
      <c r="B81" s="25"/>
      <c r="C81" s="25"/>
      <c r="D81" s="25"/>
      <c r="E81" s="25"/>
      <c r="G81" s="8"/>
      <c r="H81" s="8"/>
      <c r="I81" s="8"/>
      <c r="J81" s="8"/>
      <c r="K81" s="8"/>
      <c r="L81" s="8"/>
      <c r="M81" s="8"/>
      <c r="N81" s="8"/>
      <c r="O81" s="8"/>
    </row>
    <row r="82" spans="1:15" x14ac:dyDescent="0.25">
      <c r="B82" s="10"/>
      <c r="C82" s="25"/>
      <c r="D82" s="25"/>
      <c r="E82" s="25"/>
      <c r="G82" s="8"/>
      <c r="H82" s="8"/>
      <c r="I82" s="8"/>
      <c r="J82" s="8"/>
      <c r="K82" s="8"/>
      <c r="L82" s="8"/>
      <c r="M82" s="8"/>
      <c r="N82" s="8"/>
      <c r="O82" s="8"/>
    </row>
    <row r="83" spans="1:15" x14ac:dyDescent="0.25">
      <c r="B83" s="25"/>
      <c r="C83" s="10"/>
      <c r="D83" s="10"/>
      <c r="E83" s="10"/>
      <c r="G83" s="8"/>
      <c r="H83" s="8"/>
      <c r="I83" s="8"/>
      <c r="J83" s="8"/>
      <c r="K83" s="8"/>
      <c r="L83" s="8"/>
      <c r="M83" s="8"/>
      <c r="N83" s="8"/>
      <c r="O83" s="8"/>
    </row>
    <row r="84" spans="1:15" x14ac:dyDescent="0.25">
      <c r="B84" s="25"/>
      <c r="C84" s="25"/>
      <c r="D84" s="25"/>
      <c r="E84" s="25"/>
      <c r="G84" s="8"/>
      <c r="H84" s="8"/>
      <c r="I84" s="8"/>
      <c r="J84" s="8"/>
      <c r="K84" s="8"/>
      <c r="L84" s="8"/>
      <c r="M84" s="8"/>
      <c r="N84" s="8"/>
      <c r="O84" s="8"/>
    </row>
    <row r="85" spans="1:15" x14ac:dyDescent="0.25">
      <c r="A85" s="23"/>
      <c r="B85" s="28"/>
      <c r="C85" s="25"/>
      <c r="D85" s="25"/>
      <c r="E85" s="25"/>
      <c r="F85" s="255"/>
      <c r="G85" s="31"/>
      <c r="H85" s="31"/>
      <c r="I85" s="31"/>
      <c r="J85" s="31"/>
      <c r="K85" s="31"/>
      <c r="L85" s="31"/>
      <c r="M85" s="31"/>
      <c r="N85" s="31"/>
      <c r="O85" s="31"/>
    </row>
    <row r="86" spans="1:15" s="23" customFormat="1" ht="12.75" x14ac:dyDescent="0.2">
      <c r="B86" s="28"/>
      <c r="C86" s="28"/>
      <c r="D86" s="28"/>
      <c r="E86" s="28"/>
      <c r="G86" s="27"/>
      <c r="H86" s="27"/>
      <c r="I86" s="27"/>
      <c r="J86" s="27"/>
      <c r="K86" s="27"/>
      <c r="L86" s="27"/>
      <c r="M86" s="27"/>
      <c r="N86" s="27"/>
      <c r="O86" s="27"/>
    </row>
    <row r="87" spans="1:15" s="23" customFormat="1" ht="12.75" x14ac:dyDescent="0.2">
      <c r="B87" s="28"/>
      <c r="C87" s="28"/>
      <c r="D87" s="28"/>
      <c r="E87" s="28"/>
      <c r="G87" s="27"/>
      <c r="H87" s="27"/>
      <c r="I87" s="27"/>
      <c r="J87" s="27"/>
      <c r="K87" s="27"/>
      <c r="L87" s="27"/>
      <c r="M87" s="27"/>
      <c r="N87" s="27"/>
      <c r="O87" s="27"/>
    </row>
    <row r="88" spans="1:15" s="23" customFormat="1" ht="12.75" x14ac:dyDescent="0.2">
      <c r="A88" s="7"/>
      <c r="B88" s="10"/>
      <c r="C88" s="28"/>
      <c r="D88" s="28"/>
      <c r="E88" s="28"/>
      <c r="G88" s="28"/>
      <c r="H88" s="28"/>
      <c r="I88" s="28"/>
      <c r="J88" s="28"/>
      <c r="K88" s="28"/>
      <c r="L88" s="28"/>
      <c r="M88" s="28"/>
      <c r="N88" s="28"/>
      <c r="O88" s="28"/>
    </row>
    <row r="89" spans="1:15" s="23" customFormat="1" ht="12.75" x14ac:dyDescent="0.2">
      <c r="B89" s="9"/>
      <c r="C89" s="28"/>
      <c r="D89" s="7"/>
      <c r="E89" s="7"/>
    </row>
    <row r="90" spans="1:15" s="23" customFormat="1" ht="12.75" x14ac:dyDescent="0.2">
      <c r="B90" s="9"/>
      <c r="C90" s="9"/>
      <c r="D90" s="31"/>
      <c r="E90" s="288"/>
      <c r="F90" s="289"/>
      <c r="G90" s="27"/>
      <c r="H90" s="31"/>
      <c r="I90" s="31"/>
      <c r="J90" s="31"/>
      <c r="K90" s="31"/>
      <c r="L90" s="31"/>
      <c r="M90" s="31"/>
      <c r="N90" s="31"/>
      <c r="O90" s="31"/>
    </row>
    <row r="91" spans="1:15" s="23" customFormat="1" x14ac:dyDescent="0.25">
      <c r="B91" s="9"/>
      <c r="C91" s="9"/>
      <c r="D91" s="31"/>
      <c r="E91" s="288"/>
      <c r="F91" s="289"/>
      <c r="G91" s="27"/>
      <c r="H91" s="8"/>
      <c r="I91" s="31"/>
      <c r="J91" s="31"/>
      <c r="K91" s="31"/>
      <c r="L91" s="31"/>
      <c r="M91" s="31"/>
      <c r="N91" s="31"/>
      <c r="O91" s="31"/>
    </row>
    <row r="92" spans="1:15" s="23" customFormat="1" x14ac:dyDescent="0.25">
      <c r="B92" s="9"/>
      <c r="C92" s="9"/>
      <c r="D92" s="31"/>
      <c r="E92" s="288"/>
      <c r="F92" s="289"/>
      <c r="G92" s="27"/>
      <c r="H92" s="8"/>
      <c r="I92" s="31"/>
      <c r="J92" s="31"/>
      <c r="K92" s="31"/>
      <c r="L92" s="31"/>
      <c r="M92" s="31"/>
      <c r="N92" s="31"/>
      <c r="O92" s="31"/>
    </row>
    <row r="93" spans="1:15" s="23" customFormat="1" x14ac:dyDescent="0.25">
      <c r="B93" s="9"/>
      <c r="C93" s="9"/>
      <c r="D93" s="31"/>
      <c r="E93" s="288"/>
      <c r="F93" s="289"/>
      <c r="G93" s="27"/>
      <c r="H93" s="8"/>
      <c r="I93" s="31"/>
      <c r="J93" s="31"/>
      <c r="K93" s="31"/>
      <c r="L93" s="31"/>
      <c r="M93" s="31"/>
      <c r="N93" s="31"/>
      <c r="O93" s="31"/>
    </row>
    <row r="94" spans="1:15" s="23" customFormat="1" x14ac:dyDescent="0.25">
      <c r="B94" s="9"/>
      <c r="C94" s="9"/>
      <c r="D94" s="31"/>
      <c r="E94" s="288"/>
      <c r="F94" s="289"/>
      <c r="G94" s="27"/>
      <c r="H94" s="8"/>
      <c r="I94" s="31"/>
      <c r="J94" s="31"/>
      <c r="K94" s="31"/>
      <c r="L94" s="31"/>
      <c r="M94" s="31"/>
      <c r="N94" s="31"/>
      <c r="O94" s="31"/>
    </row>
    <row r="95" spans="1:15" s="23" customFormat="1" x14ac:dyDescent="0.25">
      <c r="B95" s="9"/>
      <c r="C95" s="9"/>
      <c r="D95" s="31"/>
      <c r="E95" s="288"/>
      <c r="G95" s="27"/>
      <c r="H95" s="8"/>
      <c r="I95" s="31"/>
      <c r="J95" s="31"/>
      <c r="K95" s="31"/>
      <c r="L95" s="31"/>
      <c r="M95" s="31"/>
      <c r="N95" s="31"/>
      <c r="O95" s="31"/>
    </row>
    <row r="96" spans="1:15" s="23" customFormat="1" x14ac:dyDescent="0.25">
      <c r="B96" s="9"/>
      <c r="C96" s="9"/>
      <c r="D96" s="31"/>
      <c r="E96" s="288"/>
      <c r="G96" s="27"/>
      <c r="H96" s="8"/>
      <c r="I96" s="31"/>
      <c r="J96" s="31"/>
      <c r="K96" s="31"/>
      <c r="L96" s="31"/>
      <c r="M96" s="31"/>
      <c r="N96" s="31"/>
      <c r="O96" s="31"/>
    </row>
    <row r="97" spans="1:16" s="23" customFormat="1" x14ac:dyDescent="0.25">
      <c r="B97" s="28"/>
      <c r="C97" s="9"/>
      <c r="D97" s="31"/>
      <c r="E97" s="288"/>
      <c r="G97" s="27"/>
      <c r="H97" s="8"/>
      <c r="I97" s="31"/>
      <c r="J97" s="31"/>
      <c r="K97" s="31"/>
      <c r="L97" s="31"/>
      <c r="M97" s="31"/>
      <c r="N97" s="31"/>
      <c r="O97" s="31"/>
    </row>
    <row r="98" spans="1:16" s="23" customFormat="1" ht="12.75" x14ac:dyDescent="0.2">
      <c r="A98" s="7"/>
      <c r="B98" s="28"/>
      <c r="C98" s="28"/>
      <c r="E98" s="28"/>
      <c r="G98" s="27"/>
      <c r="H98" s="5"/>
      <c r="I98" s="27"/>
      <c r="J98" s="27"/>
      <c r="K98" s="27"/>
      <c r="L98" s="27"/>
      <c r="M98" s="27"/>
      <c r="N98" s="27"/>
      <c r="O98" s="27"/>
    </row>
    <row r="99" spans="1:16" s="23" customFormat="1" ht="12.75" x14ac:dyDescent="0.2">
      <c r="B99" s="28"/>
      <c r="C99" s="28"/>
      <c r="D99" s="28"/>
      <c r="E99" s="28"/>
      <c r="G99" s="27"/>
      <c r="H99" s="27"/>
      <c r="I99" s="27"/>
      <c r="J99" s="27"/>
      <c r="K99" s="27"/>
      <c r="L99" s="27"/>
      <c r="M99" s="27"/>
      <c r="N99" s="27"/>
      <c r="O99" s="27"/>
    </row>
    <row r="100" spans="1:16" s="23" customFormat="1" ht="12.75" x14ac:dyDescent="0.2">
      <c r="B100" s="28"/>
      <c r="C100" s="28"/>
      <c r="D100" s="28"/>
      <c r="E100" s="28"/>
      <c r="G100" s="27"/>
      <c r="H100" s="27"/>
      <c r="I100" s="27"/>
      <c r="J100" s="27"/>
      <c r="K100" s="27"/>
      <c r="L100" s="27"/>
      <c r="M100" s="27"/>
      <c r="N100" s="27"/>
      <c r="O100" s="27"/>
    </row>
    <row r="101" spans="1:16" s="23" customFormat="1" ht="12.75" x14ac:dyDescent="0.2">
      <c r="A101" s="7"/>
      <c r="C101" s="28"/>
      <c r="D101" s="28"/>
      <c r="E101" s="28"/>
      <c r="G101" s="28"/>
      <c r="H101" s="28"/>
      <c r="I101" s="28"/>
      <c r="J101" s="28"/>
      <c r="K101" s="28"/>
      <c r="L101" s="28"/>
      <c r="M101" s="28"/>
      <c r="N101" s="28"/>
      <c r="O101" s="28"/>
    </row>
    <row r="102" spans="1:16" x14ac:dyDescent="0.25">
      <c r="A102" s="7"/>
      <c r="F102" s="25"/>
      <c r="G102" s="8"/>
      <c r="H102" s="8"/>
      <c r="I102" s="8"/>
      <c r="J102" s="8"/>
      <c r="K102" s="8"/>
      <c r="L102" s="8"/>
      <c r="M102" s="8"/>
      <c r="N102" s="8"/>
      <c r="O102" s="8"/>
      <c r="P102" s="25"/>
    </row>
    <row r="103" spans="1:16" hidden="1" x14ac:dyDescent="0.25">
      <c r="A103" s="7"/>
      <c r="E103" s="7"/>
      <c r="G103" s="8"/>
      <c r="H103" s="8"/>
      <c r="I103" s="8"/>
      <c r="J103" s="8"/>
      <c r="K103" s="8"/>
      <c r="L103" s="8"/>
      <c r="M103" s="8"/>
      <c r="N103" s="8"/>
      <c r="O103" s="8"/>
    </row>
    <row r="104" spans="1:16" hidden="1" x14ac:dyDescent="0.25">
      <c r="A104" s="7"/>
      <c r="G104" s="8"/>
      <c r="H104" s="8"/>
      <c r="I104" s="8"/>
      <c r="J104" s="8"/>
      <c r="K104" s="8"/>
      <c r="L104" s="8"/>
      <c r="M104" s="8"/>
      <c r="N104" s="8"/>
      <c r="O104" s="8"/>
      <c r="P104" s="8"/>
    </row>
    <row r="105" spans="1:16" hidden="1" x14ac:dyDescent="0.25">
      <c r="A105" s="7"/>
      <c r="G105" s="8"/>
      <c r="H105" s="8"/>
      <c r="I105" s="8"/>
      <c r="J105" s="8"/>
      <c r="K105" s="8"/>
      <c r="L105" s="8"/>
      <c r="M105" s="8"/>
      <c r="N105" s="8"/>
      <c r="O105" s="8"/>
      <c r="P105" s="8"/>
    </row>
    <row r="106" spans="1:16" hidden="1" x14ac:dyDescent="0.25">
      <c r="A106" s="7"/>
      <c r="G106" s="8"/>
      <c r="H106" s="8"/>
      <c r="I106" s="8"/>
      <c r="J106" s="8"/>
      <c r="K106" s="8"/>
      <c r="L106" s="8"/>
      <c r="M106" s="8"/>
      <c r="N106" s="8"/>
      <c r="O106" s="8"/>
      <c r="P106" s="8"/>
    </row>
    <row r="107" spans="1:16" hidden="1" x14ac:dyDescent="0.25">
      <c r="A107" s="7"/>
      <c r="B107" s="33"/>
      <c r="G107" s="8"/>
      <c r="H107" s="8"/>
      <c r="I107" s="8"/>
      <c r="J107" s="8"/>
      <c r="K107" s="8"/>
      <c r="L107" s="8"/>
      <c r="M107" s="8"/>
      <c r="N107" s="8"/>
      <c r="O107" s="8"/>
      <c r="P107" s="8"/>
    </row>
    <row r="108" spans="1:16" x14ac:dyDescent="0.25">
      <c r="A108" s="7"/>
      <c r="B108" s="36"/>
      <c r="C108" s="290"/>
      <c r="D108" s="291"/>
      <c r="G108" s="8"/>
      <c r="H108" s="8"/>
      <c r="I108" s="8"/>
      <c r="J108" s="8"/>
      <c r="K108" s="8"/>
      <c r="L108" s="8"/>
      <c r="M108" s="8"/>
      <c r="N108" s="8"/>
      <c r="O108" s="8"/>
      <c r="P108" s="8"/>
    </row>
    <row r="109" spans="1:16" x14ac:dyDescent="0.25">
      <c r="A109" s="7"/>
      <c r="C109" s="290"/>
      <c r="D109" s="291"/>
      <c r="G109" s="8"/>
      <c r="H109" s="8"/>
      <c r="I109" s="8"/>
      <c r="J109" s="8"/>
      <c r="K109" s="8"/>
      <c r="L109" s="8"/>
      <c r="M109" s="8"/>
      <c r="N109" s="8"/>
      <c r="O109" s="8"/>
      <c r="P109" s="8"/>
    </row>
    <row r="110" spans="1:16" x14ac:dyDescent="0.25">
      <c r="A110" s="35"/>
      <c r="G110" s="8"/>
      <c r="H110" s="8"/>
      <c r="I110" s="8"/>
      <c r="J110" s="8"/>
      <c r="K110" s="8"/>
      <c r="L110" s="8"/>
      <c r="M110" s="8"/>
      <c r="N110" s="8"/>
      <c r="O110" s="8"/>
      <c r="P110" s="8"/>
    </row>
    <row r="111" spans="1:16" s="23" customFormat="1" ht="12.75" x14ac:dyDescent="0.2">
      <c r="G111" s="27"/>
      <c r="H111" s="27"/>
      <c r="I111" s="27"/>
      <c r="J111" s="27"/>
      <c r="K111" s="27"/>
      <c r="L111" s="27"/>
      <c r="M111" s="27"/>
      <c r="N111" s="27"/>
      <c r="O111" s="27"/>
    </row>
    <row r="112" spans="1:16" s="23" customFormat="1" ht="12.75" x14ac:dyDescent="0.2">
      <c r="G112" s="27"/>
      <c r="H112" s="27"/>
      <c r="I112" s="27"/>
      <c r="J112" s="27"/>
      <c r="K112" s="27"/>
      <c r="L112" s="27"/>
      <c r="M112" s="27"/>
      <c r="N112" s="27"/>
      <c r="O112" s="27"/>
    </row>
    <row r="113" spans="1:19" s="23" customFormat="1" ht="12.75" x14ac:dyDescent="0.2">
      <c r="G113" s="27"/>
      <c r="H113" s="27"/>
      <c r="I113" s="27"/>
      <c r="J113" s="27"/>
      <c r="K113" s="27"/>
      <c r="L113" s="27"/>
      <c r="M113" s="27"/>
      <c r="N113" s="27"/>
      <c r="O113" s="27"/>
    </row>
    <row r="114" spans="1:19" s="23" customFormat="1" ht="12.75" x14ac:dyDescent="0.2">
      <c r="A114" s="7"/>
      <c r="G114" s="27"/>
      <c r="H114" s="27"/>
      <c r="I114" s="27"/>
      <c r="J114" s="27"/>
      <c r="K114" s="27"/>
      <c r="L114" s="27"/>
      <c r="M114" s="27"/>
      <c r="N114" s="27"/>
      <c r="O114" s="27"/>
    </row>
    <row r="115" spans="1:19" x14ac:dyDescent="0.25">
      <c r="A115" s="7"/>
      <c r="E115" s="8"/>
      <c r="F115" s="25"/>
      <c r="G115" s="8"/>
      <c r="H115" s="8"/>
      <c r="I115" s="8"/>
      <c r="J115" s="8"/>
      <c r="K115" s="8"/>
      <c r="L115" s="8"/>
      <c r="M115" s="8"/>
      <c r="N115" s="8"/>
      <c r="O115" s="8"/>
    </row>
    <row r="116" spans="1:19" x14ac:dyDescent="0.25">
      <c r="A116" s="7"/>
      <c r="F116" s="25"/>
      <c r="G116" s="8"/>
      <c r="H116" s="8"/>
      <c r="I116" s="8"/>
      <c r="J116" s="8"/>
      <c r="K116" s="8"/>
      <c r="L116" s="8"/>
      <c r="M116" s="8"/>
      <c r="N116" s="8"/>
      <c r="O116" s="8"/>
    </row>
    <row r="117" spans="1:19" x14ac:dyDescent="0.25">
      <c r="A117" s="23"/>
      <c r="F117" s="8"/>
      <c r="G117" s="8"/>
      <c r="H117" s="8"/>
      <c r="I117" s="8"/>
      <c r="J117" s="8"/>
      <c r="K117" s="8"/>
      <c r="L117" s="8"/>
      <c r="M117" s="8"/>
      <c r="N117" s="8"/>
      <c r="O117" s="8"/>
    </row>
    <row r="118" spans="1:19" s="23" customFormat="1" x14ac:dyDescent="0.25">
      <c r="A118" s="4"/>
      <c r="G118" s="27"/>
      <c r="H118" s="27"/>
      <c r="I118" s="27"/>
      <c r="J118" s="27"/>
      <c r="K118" s="27"/>
      <c r="L118" s="27"/>
      <c r="M118" s="27"/>
      <c r="N118" s="27"/>
      <c r="O118" s="27"/>
    </row>
    <row r="119" spans="1:19" x14ac:dyDescent="0.25">
      <c r="A119" s="7"/>
      <c r="G119" s="8"/>
      <c r="H119" s="8"/>
      <c r="I119" s="8"/>
      <c r="J119" s="8"/>
      <c r="K119" s="8"/>
      <c r="L119" s="8"/>
      <c r="M119" s="8"/>
      <c r="N119" s="8"/>
      <c r="O119" s="8"/>
    </row>
    <row r="120" spans="1:19" x14ac:dyDescent="0.25">
      <c r="G120" s="8"/>
      <c r="H120" s="8"/>
      <c r="I120" s="8"/>
      <c r="J120" s="8"/>
      <c r="K120" s="8"/>
      <c r="L120" s="8"/>
      <c r="M120" s="8"/>
      <c r="N120" s="8"/>
      <c r="O120" s="8"/>
    </row>
    <row r="121" spans="1:19" x14ac:dyDescent="0.25">
      <c r="E121" s="284"/>
      <c r="G121" s="8"/>
      <c r="H121" s="8"/>
      <c r="I121" s="8"/>
      <c r="J121" s="8"/>
      <c r="K121" s="8"/>
      <c r="L121" s="8"/>
      <c r="M121" s="8"/>
      <c r="N121" s="8"/>
      <c r="O121" s="8"/>
    </row>
    <row r="122" spans="1:19" x14ac:dyDescent="0.25">
      <c r="A122" s="23"/>
      <c r="C122" s="255"/>
      <c r="D122" s="26"/>
      <c r="G122" s="8"/>
      <c r="H122" s="8"/>
      <c r="I122" s="8"/>
      <c r="J122" s="8"/>
      <c r="K122" s="8"/>
      <c r="L122" s="8"/>
      <c r="M122" s="8"/>
      <c r="N122" s="8"/>
      <c r="O122" s="8"/>
    </row>
    <row r="123" spans="1:19" s="23" customFormat="1" ht="12.75" x14ac:dyDescent="0.2">
      <c r="G123" s="27"/>
      <c r="H123" s="27"/>
      <c r="I123" s="27"/>
      <c r="J123" s="27"/>
      <c r="K123" s="27"/>
      <c r="L123" s="27"/>
      <c r="M123" s="27"/>
      <c r="N123" s="27"/>
      <c r="O123" s="27"/>
    </row>
    <row r="124" spans="1:19" s="23" customFormat="1" ht="12.75" x14ac:dyDescent="0.2">
      <c r="G124" s="27"/>
      <c r="H124" s="27"/>
      <c r="I124" s="27"/>
      <c r="J124" s="27"/>
      <c r="K124" s="27"/>
      <c r="L124" s="27"/>
      <c r="M124" s="27"/>
      <c r="N124" s="27"/>
      <c r="O124" s="27"/>
    </row>
    <row r="125" spans="1:19" s="23" customFormat="1" x14ac:dyDescent="0.25">
      <c r="A125" s="4"/>
      <c r="G125" s="27"/>
      <c r="H125" s="27"/>
      <c r="I125" s="27"/>
      <c r="J125" s="27"/>
      <c r="K125" s="27"/>
      <c r="L125" s="27"/>
      <c r="M125" s="27"/>
      <c r="N125" s="27"/>
      <c r="O125" s="27"/>
      <c r="P125" s="28"/>
      <c r="Q125" s="28"/>
      <c r="R125" s="28"/>
      <c r="S125" s="28"/>
    </row>
    <row r="126" spans="1:19" ht="15.75" x14ac:dyDescent="0.25">
      <c r="A126" s="37"/>
      <c r="B126" s="38"/>
      <c r="G126" s="8"/>
      <c r="H126" s="8"/>
      <c r="I126" s="8"/>
      <c r="J126" s="8"/>
      <c r="K126" s="8"/>
      <c r="L126" s="8"/>
      <c r="M126" s="8"/>
      <c r="N126" s="8"/>
      <c r="O126" s="8"/>
    </row>
    <row r="127" spans="1:19" ht="24.95" customHeight="1" x14ac:dyDescent="0.25">
      <c r="C127" s="38"/>
      <c r="D127" s="292"/>
      <c r="E127" s="293"/>
      <c r="F127" s="294"/>
      <c r="G127" s="39"/>
      <c r="H127" s="40"/>
      <c r="I127" s="40"/>
      <c r="J127" s="40"/>
      <c r="K127" s="40"/>
      <c r="L127" s="40"/>
      <c r="M127" s="40"/>
      <c r="N127" s="40"/>
      <c r="O127" s="40"/>
    </row>
    <row r="129" spans="1:15" x14ac:dyDescent="0.25">
      <c r="A129" s="23"/>
    </row>
    <row r="130" spans="1:15" x14ac:dyDescent="0.25">
      <c r="G130" s="27"/>
      <c r="H130" s="27"/>
      <c r="I130" s="27"/>
      <c r="J130" s="27"/>
      <c r="K130" s="27"/>
      <c r="L130" s="27"/>
      <c r="M130" s="27"/>
      <c r="N130" s="27"/>
      <c r="O130" s="27"/>
    </row>
    <row r="131" spans="1:15" ht="15.75" x14ac:dyDescent="0.25">
      <c r="A131" s="37"/>
      <c r="B131" s="37"/>
    </row>
    <row r="132" spans="1:15" ht="24.75" customHeight="1" x14ac:dyDescent="0.25">
      <c r="C132" s="37"/>
      <c r="D132" s="37"/>
      <c r="E132" s="295"/>
      <c r="H132" s="41"/>
    </row>
    <row r="134" spans="1:15" x14ac:dyDescent="0.25">
      <c r="A134" s="23"/>
    </row>
    <row r="135" spans="1:15" x14ac:dyDescent="0.25">
      <c r="H135" s="42"/>
      <c r="I135" s="42"/>
      <c r="J135" s="42"/>
      <c r="K135" s="42"/>
      <c r="L135" s="42"/>
      <c r="M135" s="42"/>
      <c r="N135" s="42"/>
      <c r="O135" s="42"/>
    </row>
    <row r="136" spans="1:15" ht="15.75" x14ac:dyDescent="0.25">
      <c r="A136" s="37"/>
    </row>
    <row r="137" spans="1:15" ht="24.75" customHeight="1" x14ac:dyDescent="0.25">
      <c r="E137" s="296"/>
    </row>
    <row r="139" spans="1:15" x14ac:dyDescent="0.25">
      <c r="A139" s="23"/>
    </row>
    <row r="140" spans="1:15" x14ac:dyDescent="0.25">
      <c r="A140" s="7"/>
      <c r="B140" s="7"/>
    </row>
    <row r="141" spans="1:15" x14ac:dyDescent="0.25">
      <c r="B141" s="4"/>
      <c r="C141" s="7"/>
      <c r="D141" s="7"/>
      <c r="E141" s="7"/>
    </row>
    <row r="142" spans="1:15" x14ac:dyDescent="0.25">
      <c r="B142" s="4"/>
      <c r="C142" s="4"/>
    </row>
    <row r="143" spans="1:15" x14ac:dyDescent="0.25">
      <c r="B143" s="4"/>
      <c r="C143" s="4"/>
    </row>
    <row r="144" spans="1:15" x14ac:dyDescent="0.25">
      <c r="B144" s="4"/>
      <c r="C144" s="4"/>
    </row>
    <row r="145" spans="2:3" x14ac:dyDescent="0.25">
      <c r="B145" s="4"/>
      <c r="C145" s="4"/>
    </row>
    <row r="146" spans="2:3" x14ac:dyDescent="0.25">
      <c r="B146" s="4"/>
      <c r="C146" s="4"/>
    </row>
    <row r="147" spans="2:3" x14ac:dyDescent="0.25">
      <c r="C147" s="4"/>
    </row>
  </sheetData>
  <sheetProtection algorithmName="SHA-512" hashValue="KrYgSKF26cvT+k88zauHguD8oD2ZnMugXBNKnfUtV5sD6DfXPzZbfmY2qqAr1N7xh71ROrPJXsVJzGK7xpAaVA==" saltValue="ruyc5XIDlrM/msOwFLAwJg==" spinCount="100000" sheet="1" objects="1" scenarios="1"/>
  <mergeCells count="17">
    <mergeCell ref="A35:E35"/>
    <mergeCell ref="B14:C14"/>
    <mergeCell ref="B16:C16"/>
    <mergeCell ref="B25:C25"/>
    <mergeCell ref="B22:C22"/>
    <mergeCell ref="B15:C15"/>
    <mergeCell ref="B21:C21"/>
    <mergeCell ref="B24:C24"/>
    <mergeCell ref="B29:C29"/>
    <mergeCell ref="A32:E32"/>
    <mergeCell ref="B8:E8"/>
    <mergeCell ref="B4:E4"/>
    <mergeCell ref="B6:E6"/>
    <mergeCell ref="B12:C12"/>
    <mergeCell ref="E15:E18"/>
    <mergeCell ref="B11:C11"/>
    <mergeCell ref="B13:C13"/>
  </mergeCells>
  <conditionalFormatting sqref="A35:E35">
    <cfRule type="expression" dxfId="150" priority="4">
      <formula>#REF!="Niet van toepassing"</formula>
    </cfRule>
  </conditionalFormatting>
  <conditionalFormatting sqref="B13:C14">
    <cfRule type="expression" dxfId="149" priority="393" stopIfTrue="1">
      <formula>$E$17="Productie elektriciteit is niet van toepassing!"</formula>
    </cfRule>
  </conditionalFormatting>
  <conditionalFormatting sqref="B15:C15">
    <cfRule type="expression" dxfId="148" priority="5" stopIfTrue="1">
      <formula>$A$15="Niet van toepassing"</formula>
    </cfRule>
    <cfRule type="expression" dxfId="147" priority="7" stopIfTrue="1">
      <formula>$A$15=""</formula>
    </cfRule>
  </conditionalFormatting>
  <dataValidations disablePrompts="1" count="3">
    <dataValidation type="whole" allowBlank="1" showInputMessage="1" showErrorMessage="1" error="U moet hier 1 of 2 invullen!" sqref="E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E65584 JA65584 SW65584 ACS65584 AMO65584 AWK65584 BGG65584 BQC65584 BZY65584 CJU65584 CTQ65584 DDM65584 DNI65584 DXE65584 EHA65584 EQW65584 FAS65584 FKO65584 FUK65584 GEG65584 GOC65584 GXY65584 HHU65584 HRQ65584 IBM65584 ILI65584 IVE65584 JFA65584 JOW65584 JYS65584 KIO65584 KSK65584 LCG65584 LMC65584 LVY65584 MFU65584 MPQ65584 MZM65584 NJI65584 NTE65584 ODA65584 OMW65584 OWS65584 PGO65584 PQK65584 QAG65584 QKC65584 QTY65584 RDU65584 RNQ65584 RXM65584 SHI65584 SRE65584 TBA65584 TKW65584 TUS65584 UEO65584 UOK65584 UYG65584 VIC65584 VRY65584 WBU65584 WLQ65584 WVM65584 E131120 JA131120 SW131120 ACS131120 AMO131120 AWK131120 BGG131120 BQC131120 BZY131120 CJU131120 CTQ131120 DDM131120 DNI131120 DXE131120 EHA131120 EQW131120 FAS131120 FKO131120 FUK131120 GEG131120 GOC131120 GXY131120 HHU131120 HRQ131120 IBM131120 ILI131120 IVE131120 JFA131120 JOW131120 JYS131120 KIO131120 KSK131120 LCG131120 LMC131120 LVY131120 MFU131120 MPQ131120 MZM131120 NJI131120 NTE131120 ODA131120 OMW131120 OWS131120 PGO131120 PQK131120 QAG131120 QKC131120 QTY131120 RDU131120 RNQ131120 RXM131120 SHI131120 SRE131120 TBA131120 TKW131120 TUS131120 UEO131120 UOK131120 UYG131120 VIC131120 VRY131120 WBU131120 WLQ131120 WVM131120 E196656 JA196656 SW196656 ACS196656 AMO196656 AWK196656 BGG196656 BQC196656 BZY196656 CJU196656 CTQ196656 DDM196656 DNI196656 DXE196656 EHA196656 EQW196656 FAS196656 FKO196656 FUK196656 GEG196656 GOC196656 GXY196656 HHU196656 HRQ196656 IBM196656 ILI196656 IVE196656 JFA196656 JOW196656 JYS196656 KIO196656 KSK196656 LCG196656 LMC196656 LVY196656 MFU196656 MPQ196656 MZM196656 NJI196656 NTE196656 ODA196656 OMW196656 OWS196656 PGO196656 PQK196656 QAG196656 QKC196656 QTY196656 RDU196656 RNQ196656 RXM196656 SHI196656 SRE196656 TBA196656 TKW196656 TUS196656 UEO196656 UOK196656 UYG196656 VIC196656 VRY196656 WBU196656 WLQ196656 WVM196656 E262192 JA262192 SW262192 ACS262192 AMO262192 AWK262192 BGG262192 BQC262192 BZY262192 CJU262192 CTQ262192 DDM262192 DNI262192 DXE262192 EHA262192 EQW262192 FAS262192 FKO262192 FUK262192 GEG262192 GOC262192 GXY262192 HHU262192 HRQ262192 IBM262192 ILI262192 IVE262192 JFA262192 JOW262192 JYS262192 KIO262192 KSK262192 LCG262192 LMC262192 LVY262192 MFU262192 MPQ262192 MZM262192 NJI262192 NTE262192 ODA262192 OMW262192 OWS262192 PGO262192 PQK262192 QAG262192 QKC262192 QTY262192 RDU262192 RNQ262192 RXM262192 SHI262192 SRE262192 TBA262192 TKW262192 TUS262192 UEO262192 UOK262192 UYG262192 VIC262192 VRY262192 WBU262192 WLQ262192 WVM262192 E327728 JA327728 SW327728 ACS327728 AMO327728 AWK327728 BGG327728 BQC327728 BZY327728 CJU327728 CTQ327728 DDM327728 DNI327728 DXE327728 EHA327728 EQW327728 FAS327728 FKO327728 FUK327728 GEG327728 GOC327728 GXY327728 HHU327728 HRQ327728 IBM327728 ILI327728 IVE327728 JFA327728 JOW327728 JYS327728 KIO327728 KSK327728 LCG327728 LMC327728 LVY327728 MFU327728 MPQ327728 MZM327728 NJI327728 NTE327728 ODA327728 OMW327728 OWS327728 PGO327728 PQK327728 QAG327728 QKC327728 QTY327728 RDU327728 RNQ327728 RXM327728 SHI327728 SRE327728 TBA327728 TKW327728 TUS327728 UEO327728 UOK327728 UYG327728 VIC327728 VRY327728 WBU327728 WLQ327728 WVM327728 E393264 JA393264 SW393264 ACS393264 AMO393264 AWK393264 BGG393264 BQC393264 BZY393264 CJU393264 CTQ393264 DDM393264 DNI393264 DXE393264 EHA393264 EQW393264 FAS393264 FKO393264 FUK393264 GEG393264 GOC393264 GXY393264 HHU393264 HRQ393264 IBM393264 ILI393264 IVE393264 JFA393264 JOW393264 JYS393264 KIO393264 KSK393264 LCG393264 LMC393264 LVY393264 MFU393264 MPQ393264 MZM393264 NJI393264 NTE393264 ODA393264 OMW393264 OWS393264 PGO393264 PQK393264 QAG393264 QKC393264 QTY393264 RDU393264 RNQ393264 RXM393264 SHI393264 SRE393264 TBA393264 TKW393264 TUS393264 UEO393264 UOK393264 UYG393264 VIC393264 VRY393264 WBU393264 WLQ393264 WVM393264 E458800 JA458800 SW458800 ACS458800 AMO458800 AWK458800 BGG458800 BQC458800 BZY458800 CJU458800 CTQ458800 DDM458800 DNI458800 DXE458800 EHA458800 EQW458800 FAS458800 FKO458800 FUK458800 GEG458800 GOC458800 GXY458800 HHU458800 HRQ458800 IBM458800 ILI458800 IVE458800 JFA458800 JOW458800 JYS458800 KIO458800 KSK458800 LCG458800 LMC458800 LVY458800 MFU458800 MPQ458800 MZM458800 NJI458800 NTE458800 ODA458800 OMW458800 OWS458800 PGO458800 PQK458800 QAG458800 QKC458800 QTY458800 RDU458800 RNQ458800 RXM458800 SHI458800 SRE458800 TBA458800 TKW458800 TUS458800 UEO458800 UOK458800 UYG458800 VIC458800 VRY458800 WBU458800 WLQ458800 WVM458800 E524336 JA524336 SW524336 ACS524336 AMO524336 AWK524336 BGG524336 BQC524336 BZY524336 CJU524336 CTQ524336 DDM524336 DNI524336 DXE524336 EHA524336 EQW524336 FAS524336 FKO524336 FUK524336 GEG524336 GOC524336 GXY524336 HHU524336 HRQ524336 IBM524336 ILI524336 IVE524336 JFA524336 JOW524336 JYS524336 KIO524336 KSK524336 LCG524336 LMC524336 LVY524336 MFU524336 MPQ524336 MZM524336 NJI524336 NTE524336 ODA524336 OMW524336 OWS524336 PGO524336 PQK524336 QAG524336 QKC524336 QTY524336 RDU524336 RNQ524336 RXM524336 SHI524336 SRE524336 TBA524336 TKW524336 TUS524336 UEO524336 UOK524336 UYG524336 VIC524336 VRY524336 WBU524336 WLQ524336 WVM524336 E589872 JA589872 SW589872 ACS589872 AMO589872 AWK589872 BGG589872 BQC589872 BZY589872 CJU589872 CTQ589872 DDM589872 DNI589872 DXE589872 EHA589872 EQW589872 FAS589872 FKO589872 FUK589872 GEG589872 GOC589872 GXY589872 HHU589872 HRQ589872 IBM589872 ILI589872 IVE589872 JFA589872 JOW589872 JYS589872 KIO589872 KSK589872 LCG589872 LMC589872 LVY589872 MFU589872 MPQ589872 MZM589872 NJI589872 NTE589872 ODA589872 OMW589872 OWS589872 PGO589872 PQK589872 QAG589872 QKC589872 QTY589872 RDU589872 RNQ589872 RXM589872 SHI589872 SRE589872 TBA589872 TKW589872 TUS589872 UEO589872 UOK589872 UYG589872 VIC589872 VRY589872 WBU589872 WLQ589872 WVM589872 E655408 JA655408 SW655408 ACS655408 AMO655408 AWK655408 BGG655408 BQC655408 BZY655408 CJU655408 CTQ655408 DDM655408 DNI655408 DXE655408 EHA655408 EQW655408 FAS655408 FKO655408 FUK655408 GEG655408 GOC655408 GXY655408 HHU655408 HRQ655408 IBM655408 ILI655408 IVE655408 JFA655408 JOW655408 JYS655408 KIO655408 KSK655408 LCG655408 LMC655408 LVY655408 MFU655408 MPQ655408 MZM655408 NJI655408 NTE655408 ODA655408 OMW655408 OWS655408 PGO655408 PQK655408 QAG655408 QKC655408 QTY655408 RDU655408 RNQ655408 RXM655408 SHI655408 SRE655408 TBA655408 TKW655408 TUS655408 UEO655408 UOK655408 UYG655408 VIC655408 VRY655408 WBU655408 WLQ655408 WVM655408 E720944 JA720944 SW720944 ACS720944 AMO720944 AWK720944 BGG720944 BQC720944 BZY720944 CJU720944 CTQ720944 DDM720944 DNI720944 DXE720944 EHA720944 EQW720944 FAS720944 FKO720944 FUK720944 GEG720944 GOC720944 GXY720944 HHU720944 HRQ720944 IBM720944 ILI720944 IVE720944 JFA720944 JOW720944 JYS720944 KIO720944 KSK720944 LCG720944 LMC720944 LVY720944 MFU720944 MPQ720944 MZM720944 NJI720944 NTE720944 ODA720944 OMW720944 OWS720944 PGO720944 PQK720944 QAG720944 QKC720944 QTY720944 RDU720944 RNQ720944 RXM720944 SHI720944 SRE720944 TBA720944 TKW720944 TUS720944 UEO720944 UOK720944 UYG720944 VIC720944 VRY720944 WBU720944 WLQ720944 WVM720944 E786480 JA786480 SW786480 ACS786480 AMO786480 AWK786480 BGG786480 BQC786480 BZY786480 CJU786480 CTQ786480 DDM786480 DNI786480 DXE786480 EHA786480 EQW786480 FAS786480 FKO786480 FUK786480 GEG786480 GOC786480 GXY786480 HHU786480 HRQ786480 IBM786480 ILI786480 IVE786480 JFA786480 JOW786480 JYS786480 KIO786480 KSK786480 LCG786480 LMC786480 LVY786480 MFU786480 MPQ786480 MZM786480 NJI786480 NTE786480 ODA786480 OMW786480 OWS786480 PGO786480 PQK786480 QAG786480 QKC786480 QTY786480 RDU786480 RNQ786480 RXM786480 SHI786480 SRE786480 TBA786480 TKW786480 TUS786480 UEO786480 UOK786480 UYG786480 VIC786480 VRY786480 WBU786480 WLQ786480 WVM786480 E852016 JA852016 SW852016 ACS852016 AMO852016 AWK852016 BGG852016 BQC852016 BZY852016 CJU852016 CTQ852016 DDM852016 DNI852016 DXE852016 EHA852016 EQW852016 FAS852016 FKO852016 FUK852016 GEG852016 GOC852016 GXY852016 HHU852016 HRQ852016 IBM852016 ILI852016 IVE852016 JFA852016 JOW852016 JYS852016 KIO852016 KSK852016 LCG852016 LMC852016 LVY852016 MFU852016 MPQ852016 MZM852016 NJI852016 NTE852016 ODA852016 OMW852016 OWS852016 PGO852016 PQK852016 QAG852016 QKC852016 QTY852016 RDU852016 RNQ852016 RXM852016 SHI852016 SRE852016 TBA852016 TKW852016 TUS852016 UEO852016 UOK852016 UYG852016 VIC852016 VRY852016 WBU852016 WLQ852016 WVM852016 E917552 JA917552 SW917552 ACS917552 AMO917552 AWK917552 BGG917552 BQC917552 BZY917552 CJU917552 CTQ917552 DDM917552 DNI917552 DXE917552 EHA917552 EQW917552 FAS917552 FKO917552 FUK917552 GEG917552 GOC917552 GXY917552 HHU917552 HRQ917552 IBM917552 ILI917552 IVE917552 JFA917552 JOW917552 JYS917552 KIO917552 KSK917552 LCG917552 LMC917552 LVY917552 MFU917552 MPQ917552 MZM917552 NJI917552 NTE917552 ODA917552 OMW917552 OWS917552 PGO917552 PQK917552 QAG917552 QKC917552 QTY917552 RDU917552 RNQ917552 RXM917552 SHI917552 SRE917552 TBA917552 TKW917552 TUS917552 UEO917552 UOK917552 UYG917552 VIC917552 VRY917552 WBU917552 WLQ917552 WVM917552 E983088 JA983088 SW983088 ACS983088 AMO983088 AWK983088 BGG983088 BQC983088 BZY983088 CJU983088 CTQ983088 DDM983088 DNI983088 DXE983088 EHA983088 EQW983088 FAS983088 FKO983088 FUK983088 GEG983088 GOC983088 GXY983088 HHU983088 HRQ983088 IBM983088 ILI983088 IVE983088 JFA983088 JOW983088 JYS983088 KIO983088 KSK983088 LCG983088 LMC983088 LVY983088 MFU983088 MPQ983088 MZM983088 NJI983088 NTE983088 ODA983088 OMW983088 OWS983088 PGO983088 PQK983088 QAG983088 QKC983088 QTY983088 RDU983088 RNQ983088 RXM983088 SHI983088 SRE983088 TBA983088 TKW983088 TUS983088 UEO983088 UOK983088 UYG983088 VIC983088 VRY983088 WBU983088 WLQ983088 WVM983088" xr:uid="{40E5E316-F880-4BA6-97A6-96DF4D8C2F2E}">
      <formula1>1</formula1>
      <formula2>2</formula2>
    </dataValidation>
    <dataValidation type="whole" allowBlank="1" showInputMessage="1" showErrorMessage="1" error="U moet hier een geheel aantal jaren met een maximum van 8 jaar invullen." sqref="E47 JA47 SW47 ACS47 AMO47 AWK47 BGG47 BQC47 BZY47 CJU47 CTQ47 DDM47 DNI47 DXE47 EHA47 EQW47 FAS47 FKO47 FUK47 GEG47 GOC47 GXY47 HHU47 HRQ47 IBM47 ILI47 IVE47 JFA47 JOW47 JYS47 KIO47 KSK47 LCG47 LMC47 LVY47 MFU47 MPQ47 MZM47 NJI47 NTE47 ODA47 OMW47 OWS47 PGO47 PQK47 QAG47 QKC47 QTY47 RDU47 RNQ47 RXM47 SHI47 SRE47 TBA47 TKW47 TUS47 UEO47 UOK47 UYG47 VIC47 VRY47 WBU47 WLQ47 WVM47 E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E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E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E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E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E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E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E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E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E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E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E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E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E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E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xr:uid="{3D4B2A6B-E492-432A-A2CE-58FD1E3662B8}">
      <formula1>0</formula1>
      <formula2>8</formula2>
    </dataValidation>
    <dataValidation type="decimal" allowBlank="1" showInputMessage="1" showErrorMessage="1" error="U kunt maximaal een percentage van 3,0% invullen. Klik op &quot;Annuleren&quot; en vul een ander percentage in. " sqref="E61 JA61 SW61 ACS61 AMO61 AWK61 BGG61 BQC61 BZY61 CJU61 CTQ61 DDM61 DNI61 DXE61 EHA61 EQW61 FAS61 FKO61 FUK61 GEG61 GOC61 GXY61 HHU61 HRQ61 IBM61 ILI61 IVE61 JFA61 JOW61 JYS61 KIO61 KSK61 LCG61 LMC61 LVY61 MFU61 MPQ61 MZM61 NJI61 NTE61 ODA61 OMW61 OWS61 PGO61 PQK61 QAG61 QKC61 QTY61 RDU61 RNQ61 RXM61 SHI61 SRE61 TBA61 TKW61 TUS61 UEO61 UOK61 UYG61 VIC61 VRY61 WBU61 WLQ61 WVM61 E65597 JA65597 SW65597 ACS65597 AMO65597 AWK65597 BGG65597 BQC65597 BZY65597 CJU65597 CTQ65597 DDM65597 DNI65597 DXE65597 EHA65597 EQW65597 FAS65597 FKO65597 FUK65597 GEG65597 GOC65597 GXY65597 HHU65597 HRQ65597 IBM65597 ILI65597 IVE65597 JFA65597 JOW65597 JYS65597 KIO65597 KSK65597 LCG65597 LMC65597 LVY65597 MFU65597 MPQ65597 MZM65597 NJI65597 NTE65597 ODA65597 OMW65597 OWS65597 PGO65597 PQK65597 QAG65597 QKC65597 QTY65597 RDU65597 RNQ65597 RXM65597 SHI65597 SRE65597 TBA65597 TKW65597 TUS65597 UEO65597 UOK65597 UYG65597 VIC65597 VRY65597 WBU65597 WLQ65597 WVM65597 E131133 JA131133 SW131133 ACS131133 AMO131133 AWK131133 BGG131133 BQC131133 BZY131133 CJU131133 CTQ131133 DDM131133 DNI131133 DXE131133 EHA131133 EQW131133 FAS131133 FKO131133 FUK131133 GEG131133 GOC131133 GXY131133 HHU131133 HRQ131133 IBM131133 ILI131133 IVE131133 JFA131133 JOW131133 JYS131133 KIO131133 KSK131133 LCG131133 LMC131133 LVY131133 MFU131133 MPQ131133 MZM131133 NJI131133 NTE131133 ODA131133 OMW131133 OWS131133 PGO131133 PQK131133 QAG131133 QKC131133 QTY131133 RDU131133 RNQ131133 RXM131133 SHI131133 SRE131133 TBA131133 TKW131133 TUS131133 UEO131133 UOK131133 UYG131133 VIC131133 VRY131133 WBU131133 WLQ131133 WVM131133 E196669 JA196669 SW196669 ACS196669 AMO196669 AWK196669 BGG196669 BQC196669 BZY196669 CJU196669 CTQ196669 DDM196669 DNI196669 DXE196669 EHA196669 EQW196669 FAS196669 FKO196669 FUK196669 GEG196669 GOC196669 GXY196669 HHU196669 HRQ196669 IBM196669 ILI196669 IVE196669 JFA196669 JOW196669 JYS196669 KIO196669 KSK196669 LCG196669 LMC196669 LVY196669 MFU196669 MPQ196669 MZM196669 NJI196669 NTE196669 ODA196669 OMW196669 OWS196669 PGO196669 PQK196669 QAG196669 QKC196669 QTY196669 RDU196669 RNQ196669 RXM196669 SHI196669 SRE196669 TBA196669 TKW196669 TUS196669 UEO196669 UOK196669 UYG196669 VIC196669 VRY196669 WBU196669 WLQ196669 WVM196669 E262205 JA262205 SW262205 ACS262205 AMO262205 AWK262205 BGG262205 BQC262205 BZY262205 CJU262205 CTQ262205 DDM262205 DNI262205 DXE262205 EHA262205 EQW262205 FAS262205 FKO262205 FUK262205 GEG262205 GOC262205 GXY262205 HHU262205 HRQ262205 IBM262205 ILI262205 IVE262205 JFA262205 JOW262205 JYS262205 KIO262205 KSK262205 LCG262205 LMC262205 LVY262205 MFU262205 MPQ262205 MZM262205 NJI262205 NTE262205 ODA262205 OMW262205 OWS262205 PGO262205 PQK262205 QAG262205 QKC262205 QTY262205 RDU262205 RNQ262205 RXM262205 SHI262205 SRE262205 TBA262205 TKW262205 TUS262205 UEO262205 UOK262205 UYG262205 VIC262205 VRY262205 WBU262205 WLQ262205 WVM262205 E327741 JA327741 SW327741 ACS327741 AMO327741 AWK327741 BGG327741 BQC327741 BZY327741 CJU327741 CTQ327741 DDM327741 DNI327741 DXE327741 EHA327741 EQW327741 FAS327741 FKO327741 FUK327741 GEG327741 GOC327741 GXY327741 HHU327741 HRQ327741 IBM327741 ILI327741 IVE327741 JFA327741 JOW327741 JYS327741 KIO327741 KSK327741 LCG327741 LMC327741 LVY327741 MFU327741 MPQ327741 MZM327741 NJI327741 NTE327741 ODA327741 OMW327741 OWS327741 PGO327741 PQK327741 QAG327741 QKC327741 QTY327741 RDU327741 RNQ327741 RXM327741 SHI327741 SRE327741 TBA327741 TKW327741 TUS327741 UEO327741 UOK327741 UYG327741 VIC327741 VRY327741 WBU327741 WLQ327741 WVM327741 E393277 JA393277 SW393277 ACS393277 AMO393277 AWK393277 BGG393277 BQC393277 BZY393277 CJU393277 CTQ393277 DDM393277 DNI393277 DXE393277 EHA393277 EQW393277 FAS393277 FKO393277 FUK393277 GEG393277 GOC393277 GXY393277 HHU393277 HRQ393277 IBM393277 ILI393277 IVE393277 JFA393277 JOW393277 JYS393277 KIO393277 KSK393277 LCG393277 LMC393277 LVY393277 MFU393277 MPQ393277 MZM393277 NJI393277 NTE393277 ODA393277 OMW393277 OWS393277 PGO393277 PQK393277 QAG393277 QKC393277 QTY393277 RDU393277 RNQ393277 RXM393277 SHI393277 SRE393277 TBA393277 TKW393277 TUS393277 UEO393277 UOK393277 UYG393277 VIC393277 VRY393277 WBU393277 WLQ393277 WVM393277 E458813 JA458813 SW458813 ACS458813 AMO458813 AWK458813 BGG458813 BQC458813 BZY458813 CJU458813 CTQ458813 DDM458813 DNI458813 DXE458813 EHA458813 EQW458813 FAS458813 FKO458813 FUK458813 GEG458813 GOC458813 GXY458813 HHU458813 HRQ458813 IBM458813 ILI458813 IVE458813 JFA458813 JOW458813 JYS458813 KIO458813 KSK458813 LCG458813 LMC458813 LVY458813 MFU458813 MPQ458813 MZM458813 NJI458813 NTE458813 ODA458813 OMW458813 OWS458813 PGO458813 PQK458813 QAG458813 QKC458813 QTY458813 RDU458813 RNQ458813 RXM458813 SHI458813 SRE458813 TBA458813 TKW458813 TUS458813 UEO458813 UOK458813 UYG458813 VIC458813 VRY458813 WBU458813 WLQ458813 WVM458813 E524349 JA524349 SW524349 ACS524349 AMO524349 AWK524349 BGG524349 BQC524349 BZY524349 CJU524349 CTQ524349 DDM524349 DNI524349 DXE524349 EHA524349 EQW524349 FAS524349 FKO524349 FUK524349 GEG524349 GOC524349 GXY524349 HHU524349 HRQ524349 IBM524349 ILI524349 IVE524349 JFA524349 JOW524349 JYS524349 KIO524349 KSK524349 LCG524349 LMC524349 LVY524349 MFU524349 MPQ524349 MZM524349 NJI524349 NTE524349 ODA524349 OMW524349 OWS524349 PGO524349 PQK524349 QAG524349 QKC524349 QTY524349 RDU524349 RNQ524349 RXM524349 SHI524349 SRE524349 TBA524349 TKW524349 TUS524349 UEO524349 UOK524349 UYG524349 VIC524349 VRY524349 WBU524349 WLQ524349 WVM524349 E589885 JA589885 SW589885 ACS589885 AMO589885 AWK589885 BGG589885 BQC589885 BZY589885 CJU589885 CTQ589885 DDM589885 DNI589885 DXE589885 EHA589885 EQW589885 FAS589885 FKO589885 FUK589885 GEG589885 GOC589885 GXY589885 HHU589885 HRQ589885 IBM589885 ILI589885 IVE589885 JFA589885 JOW589885 JYS589885 KIO589885 KSK589885 LCG589885 LMC589885 LVY589885 MFU589885 MPQ589885 MZM589885 NJI589885 NTE589885 ODA589885 OMW589885 OWS589885 PGO589885 PQK589885 QAG589885 QKC589885 QTY589885 RDU589885 RNQ589885 RXM589885 SHI589885 SRE589885 TBA589885 TKW589885 TUS589885 UEO589885 UOK589885 UYG589885 VIC589885 VRY589885 WBU589885 WLQ589885 WVM589885 E655421 JA655421 SW655421 ACS655421 AMO655421 AWK655421 BGG655421 BQC655421 BZY655421 CJU655421 CTQ655421 DDM655421 DNI655421 DXE655421 EHA655421 EQW655421 FAS655421 FKO655421 FUK655421 GEG655421 GOC655421 GXY655421 HHU655421 HRQ655421 IBM655421 ILI655421 IVE655421 JFA655421 JOW655421 JYS655421 KIO655421 KSK655421 LCG655421 LMC655421 LVY655421 MFU655421 MPQ655421 MZM655421 NJI655421 NTE655421 ODA655421 OMW655421 OWS655421 PGO655421 PQK655421 QAG655421 QKC655421 QTY655421 RDU655421 RNQ655421 RXM655421 SHI655421 SRE655421 TBA655421 TKW655421 TUS655421 UEO655421 UOK655421 UYG655421 VIC655421 VRY655421 WBU655421 WLQ655421 WVM655421 E720957 JA720957 SW720957 ACS720957 AMO720957 AWK720957 BGG720957 BQC720957 BZY720957 CJU720957 CTQ720957 DDM720957 DNI720957 DXE720957 EHA720957 EQW720957 FAS720957 FKO720957 FUK720957 GEG720957 GOC720957 GXY720957 HHU720957 HRQ720957 IBM720957 ILI720957 IVE720957 JFA720957 JOW720957 JYS720957 KIO720957 KSK720957 LCG720957 LMC720957 LVY720957 MFU720957 MPQ720957 MZM720957 NJI720957 NTE720957 ODA720957 OMW720957 OWS720957 PGO720957 PQK720957 QAG720957 QKC720957 QTY720957 RDU720957 RNQ720957 RXM720957 SHI720957 SRE720957 TBA720957 TKW720957 TUS720957 UEO720957 UOK720957 UYG720957 VIC720957 VRY720957 WBU720957 WLQ720957 WVM720957 E786493 JA786493 SW786493 ACS786493 AMO786493 AWK786493 BGG786493 BQC786493 BZY786493 CJU786493 CTQ786493 DDM786493 DNI786493 DXE786493 EHA786493 EQW786493 FAS786493 FKO786493 FUK786493 GEG786493 GOC786493 GXY786493 HHU786493 HRQ786493 IBM786493 ILI786493 IVE786493 JFA786493 JOW786493 JYS786493 KIO786493 KSK786493 LCG786493 LMC786493 LVY786493 MFU786493 MPQ786493 MZM786493 NJI786493 NTE786493 ODA786493 OMW786493 OWS786493 PGO786493 PQK786493 QAG786493 QKC786493 QTY786493 RDU786493 RNQ786493 RXM786493 SHI786493 SRE786493 TBA786493 TKW786493 TUS786493 UEO786493 UOK786493 UYG786493 VIC786493 VRY786493 WBU786493 WLQ786493 WVM786493 E852029 JA852029 SW852029 ACS852029 AMO852029 AWK852029 BGG852029 BQC852029 BZY852029 CJU852029 CTQ852029 DDM852029 DNI852029 DXE852029 EHA852029 EQW852029 FAS852029 FKO852029 FUK852029 GEG852029 GOC852029 GXY852029 HHU852029 HRQ852029 IBM852029 ILI852029 IVE852029 JFA852029 JOW852029 JYS852029 KIO852029 KSK852029 LCG852029 LMC852029 LVY852029 MFU852029 MPQ852029 MZM852029 NJI852029 NTE852029 ODA852029 OMW852029 OWS852029 PGO852029 PQK852029 QAG852029 QKC852029 QTY852029 RDU852029 RNQ852029 RXM852029 SHI852029 SRE852029 TBA852029 TKW852029 TUS852029 UEO852029 UOK852029 UYG852029 VIC852029 VRY852029 WBU852029 WLQ852029 WVM852029 E917565 JA917565 SW917565 ACS917565 AMO917565 AWK917565 BGG917565 BQC917565 BZY917565 CJU917565 CTQ917565 DDM917565 DNI917565 DXE917565 EHA917565 EQW917565 FAS917565 FKO917565 FUK917565 GEG917565 GOC917565 GXY917565 HHU917565 HRQ917565 IBM917565 ILI917565 IVE917565 JFA917565 JOW917565 JYS917565 KIO917565 KSK917565 LCG917565 LMC917565 LVY917565 MFU917565 MPQ917565 MZM917565 NJI917565 NTE917565 ODA917565 OMW917565 OWS917565 PGO917565 PQK917565 QAG917565 QKC917565 QTY917565 RDU917565 RNQ917565 RXM917565 SHI917565 SRE917565 TBA917565 TKW917565 TUS917565 UEO917565 UOK917565 UYG917565 VIC917565 VRY917565 WBU917565 WLQ917565 WVM917565 E983101 JA983101 SW983101 ACS983101 AMO983101 AWK983101 BGG983101 BQC983101 BZY983101 CJU983101 CTQ983101 DDM983101 DNI983101 DXE983101 EHA983101 EQW983101 FAS983101 FKO983101 FUK983101 GEG983101 GOC983101 GXY983101 HHU983101 HRQ983101 IBM983101 ILI983101 IVE983101 JFA983101 JOW983101 JYS983101 KIO983101 KSK983101 LCG983101 LMC983101 LVY983101 MFU983101 MPQ983101 MZM983101 NJI983101 NTE983101 ODA983101 OMW983101 OWS983101 PGO983101 PQK983101 QAG983101 QKC983101 QTY983101 RDU983101 RNQ983101 RXM983101 SHI983101 SRE983101 TBA983101 TKW983101 TUS983101 UEO983101 UOK983101 UYG983101 VIC983101 VRY983101 WBU983101 WLQ983101 WVM983101 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xr:uid="{8E93D866-E59A-4D9A-A9D9-6E53F33C9D9D}">
      <formula1>0</formula1>
      <formula2>0.03</formula2>
    </dataValidation>
  </dataValidations>
  <pageMargins left="0.7" right="0.7" top="0.75" bottom="0.75" header="0.3" footer="0.3"/>
  <pageSetup paperSize="9" orientation="portrait" r:id="rId1"/>
  <ignoredErrors>
    <ignoredError sqref="B15" unlocked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7CC6A-5185-4252-8F15-616C0221E6FB}">
  <dimension ref="A1:AF148"/>
  <sheetViews>
    <sheetView zoomScaleNormal="100" workbookViewId="0">
      <selection activeCell="N32" sqref="N32"/>
    </sheetView>
  </sheetViews>
  <sheetFormatPr defaultColWidth="8.7109375" defaultRowHeight="15" x14ac:dyDescent="0.25"/>
  <cols>
    <col min="1" max="1" width="45.7109375" style="4" customWidth="1"/>
    <col min="2" max="2" width="9.85546875" style="23" customWidth="1"/>
    <col min="3" max="3" width="8.7109375" style="23"/>
    <col min="4" max="4" width="3" style="4" customWidth="1"/>
    <col min="5" max="5" width="18.42578125" style="4" customWidth="1"/>
    <col min="6" max="6" width="0.85546875" style="4" hidden="1" customWidth="1"/>
    <col min="7" max="7" width="3" style="4" customWidth="1"/>
    <col min="8" max="8" width="10.7109375" style="4" customWidth="1"/>
    <col min="9" max="9" width="2.7109375" style="4" customWidth="1"/>
    <col min="10" max="10" width="6.7109375" style="4" customWidth="1"/>
    <col min="11" max="11" width="3" style="4" customWidth="1"/>
    <col min="12" max="12" width="17.7109375" style="4" customWidth="1"/>
    <col min="13" max="13" width="10.5703125" style="4" customWidth="1"/>
    <col min="14" max="14" width="17.28515625" style="4" bestFit="1" customWidth="1"/>
    <col min="15" max="29" width="11.7109375" style="4" customWidth="1"/>
    <col min="30" max="30" width="12.28515625" style="4" customWidth="1"/>
    <col min="31" max="256" width="8.7109375" style="4"/>
    <col min="257" max="257" width="34.5703125" style="4" customWidth="1"/>
    <col min="258" max="258" width="9.85546875" style="4" customWidth="1"/>
    <col min="259" max="259" width="8.7109375" style="4"/>
    <col min="260" max="260" width="3" style="4" customWidth="1"/>
    <col min="261" max="261" width="18.42578125" style="4" customWidth="1"/>
    <col min="262" max="262" width="0" style="4" hidden="1" customWidth="1"/>
    <col min="263" max="263" width="3" style="4" customWidth="1"/>
    <col min="264" max="264" width="10.7109375" style="4" customWidth="1"/>
    <col min="265" max="265" width="2.7109375" style="4" customWidth="1"/>
    <col min="266" max="266" width="6.7109375" style="4" customWidth="1"/>
    <col min="267" max="267" width="3" style="4" customWidth="1"/>
    <col min="268" max="268" width="17.7109375" style="4" customWidth="1"/>
    <col min="269" max="269" width="10.5703125" style="4" customWidth="1"/>
    <col min="270" max="270" width="17.28515625" style="4" bestFit="1" customWidth="1"/>
    <col min="271" max="285" width="11.7109375" style="4" customWidth="1"/>
    <col min="286" max="512" width="8.7109375" style="4"/>
    <col min="513" max="513" width="34.5703125" style="4" customWidth="1"/>
    <col min="514" max="514" width="9.85546875" style="4" customWidth="1"/>
    <col min="515" max="515" width="8.7109375" style="4"/>
    <col min="516" max="516" width="3" style="4" customWidth="1"/>
    <col min="517" max="517" width="18.42578125" style="4" customWidth="1"/>
    <col min="518" max="518" width="0" style="4" hidden="1" customWidth="1"/>
    <col min="519" max="519" width="3" style="4" customWidth="1"/>
    <col min="520" max="520" width="10.7109375" style="4" customWidth="1"/>
    <col min="521" max="521" width="2.7109375" style="4" customWidth="1"/>
    <col min="522" max="522" width="6.7109375" style="4" customWidth="1"/>
    <col min="523" max="523" width="3" style="4" customWidth="1"/>
    <col min="524" max="524" width="17.7109375" style="4" customWidth="1"/>
    <col min="525" max="525" width="10.5703125" style="4" customWidth="1"/>
    <col min="526" max="526" width="17.28515625" style="4" bestFit="1" customWidth="1"/>
    <col min="527" max="541" width="11.7109375" style="4" customWidth="1"/>
    <col min="542" max="768" width="8.7109375" style="4"/>
    <col min="769" max="769" width="34.5703125" style="4" customWidth="1"/>
    <col min="770" max="770" width="9.85546875" style="4" customWidth="1"/>
    <col min="771" max="771" width="8.7109375" style="4"/>
    <col min="772" max="772" width="3" style="4" customWidth="1"/>
    <col min="773" max="773" width="18.42578125" style="4" customWidth="1"/>
    <col min="774" max="774" width="0" style="4" hidden="1" customWidth="1"/>
    <col min="775" max="775" width="3" style="4" customWidth="1"/>
    <col min="776" max="776" width="10.7109375" style="4" customWidth="1"/>
    <col min="777" max="777" width="2.7109375" style="4" customWidth="1"/>
    <col min="778" max="778" width="6.7109375" style="4" customWidth="1"/>
    <col min="779" max="779" width="3" style="4" customWidth="1"/>
    <col min="780" max="780" width="17.7109375" style="4" customWidth="1"/>
    <col min="781" max="781" width="10.5703125" style="4" customWidth="1"/>
    <col min="782" max="782" width="17.28515625" style="4" bestFit="1" customWidth="1"/>
    <col min="783" max="797" width="11.7109375" style="4" customWidth="1"/>
    <col min="798" max="1024" width="8.7109375" style="4"/>
    <col min="1025" max="1025" width="34.5703125" style="4" customWidth="1"/>
    <col min="1026" max="1026" width="9.85546875" style="4" customWidth="1"/>
    <col min="1027" max="1027" width="8.7109375" style="4"/>
    <col min="1028" max="1028" width="3" style="4" customWidth="1"/>
    <col min="1029" max="1029" width="18.42578125" style="4" customWidth="1"/>
    <col min="1030" max="1030" width="0" style="4" hidden="1" customWidth="1"/>
    <col min="1031" max="1031" width="3" style="4" customWidth="1"/>
    <col min="1032" max="1032" width="10.7109375" style="4" customWidth="1"/>
    <col min="1033" max="1033" width="2.7109375" style="4" customWidth="1"/>
    <col min="1034" max="1034" width="6.7109375" style="4" customWidth="1"/>
    <col min="1035" max="1035" width="3" style="4" customWidth="1"/>
    <col min="1036" max="1036" width="17.7109375" style="4" customWidth="1"/>
    <col min="1037" max="1037" width="10.5703125" style="4" customWidth="1"/>
    <col min="1038" max="1038" width="17.28515625" style="4" bestFit="1" customWidth="1"/>
    <col min="1039" max="1053" width="11.7109375" style="4" customWidth="1"/>
    <col min="1054" max="1280" width="8.7109375" style="4"/>
    <col min="1281" max="1281" width="34.5703125" style="4" customWidth="1"/>
    <col min="1282" max="1282" width="9.85546875" style="4" customWidth="1"/>
    <col min="1283" max="1283" width="8.7109375" style="4"/>
    <col min="1284" max="1284" width="3" style="4" customWidth="1"/>
    <col min="1285" max="1285" width="18.42578125" style="4" customWidth="1"/>
    <col min="1286" max="1286" width="0" style="4" hidden="1" customWidth="1"/>
    <col min="1287" max="1287" width="3" style="4" customWidth="1"/>
    <col min="1288" max="1288" width="10.7109375" style="4" customWidth="1"/>
    <col min="1289" max="1289" width="2.7109375" style="4" customWidth="1"/>
    <col min="1290" max="1290" width="6.7109375" style="4" customWidth="1"/>
    <col min="1291" max="1291" width="3" style="4" customWidth="1"/>
    <col min="1292" max="1292" width="17.7109375" style="4" customWidth="1"/>
    <col min="1293" max="1293" width="10.5703125" style="4" customWidth="1"/>
    <col min="1294" max="1294" width="17.28515625" style="4" bestFit="1" customWidth="1"/>
    <col min="1295" max="1309" width="11.7109375" style="4" customWidth="1"/>
    <col min="1310" max="1536" width="8.7109375" style="4"/>
    <col min="1537" max="1537" width="34.5703125" style="4" customWidth="1"/>
    <col min="1538" max="1538" width="9.85546875" style="4" customWidth="1"/>
    <col min="1539" max="1539" width="8.7109375" style="4"/>
    <col min="1540" max="1540" width="3" style="4" customWidth="1"/>
    <col min="1541" max="1541" width="18.42578125" style="4" customWidth="1"/>
    <col min="1542" max="1542" width="0" style="4" hidden="1" customWidth="1"/>
    <col min="1543" max="1543" width="3" style="4" customWidth="1"/>
    <col min="1544" max="1544" width="10.7109375" style="4" customWidth="1"/>
    <col min="1545" max="1545" width="2.7109375" style="4" customWidth="1"/>
    <col min="1546" max="1546" width="6.7109375" style="4" customWidth="1"/>
    <col min="1547" max="1547" width="3" style="4" customWidth="1"/>
    <col min="1548" max="1548" width="17.7109375" style="4" customWidth="1"/>
    <col min="1549" max="1549" width="10.5703125" style="4" customWidth="1"/>
    <col min="1550" max="1550" width="17.28515625" style="4" bestFit="1" customWidth="1"/>
    <col min="1551" max="1565" width="11.7109375" style="4" customWidth="1"/>
    <col min="1566" max="1792" width="8.7109375" style="4"/>
    <col min="1793" max="1793" width="34.5703125" style="4" customWidth="1"/>
    <col min="1794" max="1794" width="9.85546875" style="4" customWidth="1"/>
    <col min="1795" max="1795" width="8.7109375" style="4"/>
    <col min="1796" max="1796" width="3" style="4" customWidth="1"/>
    <col min="1797" max="1797" width="18.42578125" style="4" customWidth="1"/>
    <col min="1798" max="1798" width="0" style="4" hidden="1" customWidth="1"/>
    <col min="1799" max="1799" width="3" style="4" customWidth="1"/>
    <col min="1800" max="1800" width="10.7109375" style="4" customWidth="1"/>
    <col min="1801" max="1801" width="2.7109375" style="4" customWidth="1"/>
    <col min="1802" max="1802" width="6.7109375" style="4" customWidth="1"/>
    <col min="1803" max="1803" width="3" style="4" customWidth="1"/>
    <col min="1804" max="1804" width="17.7109375" style="4" customWidth="1"/>
    <col min="1805" max="1805" width="10.5703125" style="4" customWidth="1"/>
    <col min="1806" max="1806" width="17.28515625" style="4" bestFit="1" customWidth="1"/>
    <col min="1807" max="1821" width="11.7109375" style="4" customWidth="1"/>
    <col min="1822" max="2048" width="8.7109375" style="4"/>
    <col min="2049" max="2049" width="34.5703125" style="4" customWidth="1"/>
    <col min="2050" max="2050" width="9.85546875" style="4" customWidth="1"/>
    <col min="2051" max="2051" width="8.7109375" style="4"/>
    <col min="2052" max="2052" width="3" style="4" customWidth="1"/>
    <col min="2053" max="2053" width="18.42578125" style="4" customWidth="1"/>
    <col min="2054" max="2054" width="0" style="4" hidden="1" customWidth="1"/>
    <col min="2055" max="2055" width="3" style="4" customWidth="1"/>
    <col min="2056" max="2056" width="10.7109375" style="4" customWidth="1"/>
    <col min="2057" max="2057" width="2.7109375" style="4" customWidth="1"/>
    <col min="2058" max="2058" width="6.7109375" style="4" customWidth="1"/>
    <col min="2059" max="2059" width="3" style="4" customWidth="1"/>
    <col min="2060" max="2060" width="17.7109375" style="4" customWidth="1"/>
    <col min="2061" max="2061" width="10.5703125" style="4" customWidth="1"/>
    <col min="2062" max="2062" width="17.28515625" style="4" bestFit="1" customWidth="1"/>
    <col min="2063" max="2077" width="11.7109375" style="4" customWidth="1"/>
    <col min="2078" max="2304" width="8.7109375" style="4"/>
    <col min="2305" max="2305" width="34.5703125" style="4" customWidth="1"/>
    <col min="2306" max="2306" width="9.85546875" style="4" customWidth="1"/>
    <col min="2307" max="2307" width="8.7109375" style="4"/>
    <col min="2308" max="2308" width="3" style="4" customWidth="1"/>
    <col min="2309" max="2309" width="18.42578125" style="4" customWidth="1"/>
    <col min="2310" max="2310" width="0" style="4" hidden="1" customWidth="1"/>
    <col min="2311" max="2311" width="3" style="4" customWidth="1"/>
    <col min="2312" max="2312" width="10.7109375" style="4" customWidth="1"/>
    <col min="2313" max="2313" width="2.7109375" style="4" customWidth="1"/>
    <col min="2314" max="2314" width="6.7109375" style="4" customWidth="1"/>
    <col min="2315" max="2315" width="3" style="4" customWidth="1"/>
    <col min="2316" max="2316" width="17.7109375" style="4" customWidth="1"/>
    <col min="2317" max="2317" width="10.5703125" style="4" customWidth="1"/>
    <col min="2318" max="2318" width="17.28515625" style="4" bestFit="1" customWidth="1"/>
    <col min="2319" max="2333" width="11.7109375" style="4" customWidth="1"/>
    <col min="2334" max="2560" width="8.7109375" style="4"/>
    <col min="2561" max="2561" width="34.5703125" style="4" customWidth="1"/>
    <col min="2562" max="2562" width="9.85546875" style="4" customWidth="1"/>
    <col min="2563" max="2563" width="8.7109375" style="4"/>
    <col min="2564" max="2564" width="3" style="4" customWidth="1"/>
    <col min="2565" max="2565" width="18.42578125" style="4" customWidth="1"/>
    <col min="2566" max="2566" width="0" style="4" hidden="1" customWidth="1"/>
    <col min="2567" max="2567" width="3" style="4" customWidth="1"/>
    <col min="2568" max="2568" width="10.7109375" style="4" customWidth="1"/>
    <col min="2569" max="2569" width="2.7109375" style="4" customWidth="1"/>
    <col min="2570" max="2570" width="6.7109375" style="4" customWidth="1"/>
    <col min="2571" max="2571" width="3" style="4" customWidth="1"/>
    <col min="2572" max="2572" width="17.7109375" style="4" customWidth="1"/>
    <col min="2573" max="2573" width="10.5703125" style="4" customWidth="1"/>
    <col min="2574" max="2574" width="17.28515625" style="4" bestFit="1" customWidth="1"/>
    <col min="2575" max="2589" width="11.7109375" style="4" customWidth="1"/>
    <col min="2590" max="2816" width="8.7109375" style="4"/>
    <col min="2817" max="2817" width="34.5703125" style="4" customWidth="1"/>
    <col min="2818" max="2818" width="9.85546875" style="4" customWidth="1"/>
    <col min="2819" max="2819" width="8.7109375" style="4"/>
    <col min="2820" max="2820" width="3" style="4" customWidth="1"/>
    <col min="2821" max="2821" width="18.42578125" style="4" customWidth="1"/>
    <col min="2822" max="2822" width="0" style="4" hidden="1" customWidth="1"/>
    <col min="2823" max="2823" width="3" style="4" customWidth="1"/>
    <col min="2824" max="2824" width="10.7109375" style="4" customWidth="1"/>
    <col min="2825" max="2825" width="2.7109375" style="4" customWidth="1"/>
    <col min="2826" max="2826" width="6.7109375" style="4" customWidth="1"/>
    <col min="2827" max="2827" width="3" style="4" customWidth="1"/>
    <col min="2828" max="2828" width="17.7109375" style="4" customWidth="1"/>
    <col min="2829" max="2829" width="10.5703125" style="4" customWidth="1"/>
    <col min="2830" max="2830" width="17.28515625" style="4" bestFit="1" customWidth="1"/>
    <col min="2831" max="2845" width="11.7109375" style="4" customWidth="1"/>
    <col min="2846" max="3072" width="8.7109375" style="4"/>
    <col min="3073" max="3073" width="34.5703125" style="4" customWidth="1"/>
    <col min="3074" max="3074" width="9.85546875" style="4" customWidth="1"/>
    <col min="3075" max="3075" width="8.7109375" style="4"/>
    <col min="3076" max="3076" width="3" style="4" customWidth="1"/>
    <col min="3077" max="3077" width="18.42578125" style="4" customWidth="1"/>
    <col min="3078" max="3078" width="0" style="4" hidden="1" customWidth="1"/>
    <col min="3079" max="3079" width="3" style="4" customWidth="1"/>
    <col min="3080" max="3080" width="10.7109375" style="4" customWidth="1"/>
    <col min="3081" max="3081" width="2.7109375" style="4" customWidth="1"/>
    <col min="3082" max="3082" width="6.7109375" style="4" customWidth="1"/>
    <col min="3083" max="3083" width="3" style="4" customWidth="1"/>
    <col min="3084" max="3084" width="17.7109375" style="4" customWidth="1"/>
    <col min="3085" max="3085" width="10.5703125" style="4" customWidth="1"/>
    <col min="3086" max="3086" width="17.28515625" style="4" bestFit="1" customWidth="1"/>
    <col min="3087" max="3101" width="11.7109375" style="4" customWidth="1"/>
    <col min="3102" max="3328" width="8.7109375" style="4"/>
    <col min="3329" max="3329" width="34.5703125" style="4" customWidth="1"/>
    <col min="3330" max="3330" width="9.85546875" style="4" customWidth="1"/>
    <col min="3331" max="3331" width="8.7109375" style="4"/>
    <col min="3332" max="3332" width="3" style="4" customWidth="1"/>
    <col min="3333" max="3333" width="18.42578125" style="4" customWidth="1"/>
    <col min="3334" max="3334" width="0" style="4" hidden="1" customWidth="1"/>
    <col min="3335" max="3335" width="3" style="4" customWidth="1"/>
    <col min="3336" max="3336" width="10.7109375" style="4" customWidth="1"/>
    <col min="3337" max="3337" width="2.7109375" style="4" customWidth="1"/>
    <col min="3338" max="3338" width="6.7109375" style="4" customWidth="1"/>
    <col min="3339" max="3339" width="3" style="4" customWidth="1"/>
    <col min="3340" max="3340" width="17.7109375" style="4" customWidth="1"/>
    <col min="3341" max="3341" width="10.5703125" style="4" customWidth="1"/>
    <col min="3342" max="3342" width="17.28515625" style="4" bestFit="1" customWidth="1"/>
    <col min="3343" max="3357" width="11.7109375" style="4" customWidth="1"/>
    <col min="3358" max="3584" width="8.7109375" style="4"/>
    <col min="3585" max="3585" width="34.5703125" style="4" customWidth="1"/>
    <col min="3586" max="3586" width="9.85546875" style="4" customWidth="1"/>
    <col min="3587" max="3587" width="8.7109375" style="4"/>
    <col min="3588" max="3588" width="3" style="4" customWidth="1"/>
    <col min="3589" max="3589" width="18.42578125" style="4" customWidth="1"/>
    <col min="3590" max="3590" width="0" style="4" hidden="1" customWidth="1"/>
    <col min="3591" max="3591" width="3" style="4" customWidth="1"/>
    <col min="3592" max="3592" width="10.7109375" style="4" customWidth="1"/>
    <col min="3593" max="3593" width="2.7109375" style="4" customWidth="1"/>
    <col min="3594" max="3594" width="6.7109375" style="4" customWidth="1"/>
    <col min="3595" max="3595" width="3" style="4" customWidth="1"/>
    <col min="3596" max="3596" width="17.7109375" style="4" customWidth="1"/>
    <col min="3597" max="3597" width="10.5703125" style="4" customWidth="1"/>
    <col min="3598" max="3598" width="17.28515625" style="4" bestFit="1" customWidth="1"/>
    <col min="3599" max="3613" width="11.7109375" style="4" customWidth="1"/>
    <col min="3614" max="3840" width="8.7109375" style="4"/>
    <col min="3841" max="3841" width="34.5703125" style="4" customWidth="1"/>
    <col min="3842" max="3842" width="9.85546875" style="4" customWidth="1"/>
    <col min="3843" max="3843" width="8.7109375" style="4"/>
    <col min="3844" max="3844" width="3" style="4" customWidth="1"/>
    <col min="3845" max="3845" width="18.42578125" style="4" customWidth="1"/>
    <col min="3846" max="3846" width="0" style="4" hidden="1" customWidth="1"/>
    <col min="3847" max="3847" width="3" style="4" customWidth="1"/>
    <col min="3848" max="3848" width="10.7109375" style="4" customWidth="1"/>
    <col min="3849" max="3849" width="2.7109375" style="4" customWidth="1"/>
    <col min="3850" max="3850" width="6.7109375" style="4" customWidth="1"/>
    <col min="3851" max="3851" width="3" style="4" customWidth="1"/>
    <col min="3852" max="3852" width="17.7109375" style="4" customWidth="1"/>
    <col min="3853" max="3853" width="10.5703125" style="4" customWidth="1"/>
    <col min="3854" max="3854" width="17.28515625" style="4" bestFit="1" customWidth="1"/>
    <col min="3855" max="3869" width="11.7109375" style="4" customWidth="1"/>
    <col min="3870" max="4096" width="8.7109375" style="4"/>
    <col min="4097" max="4097" width="34.5703125" style="4" customWidth="1"/>
    <col min="4098" max="4098" width="9.85546875" style="4" customWidth="1"/>
    <col min="4099" max="4099" width="8.7109375" style="4"/>
    <col min="4100" max="4100" width="3" style="4" customWidth="1"/>
    <col min="4101" max="4101" width="18.42578125" style="4" customWidth="1"/>
    <col min="4102" max="4102" width="0" style="4" hidden="1" customWidth="1"/>
    <col min="4103" max="4103" width="3" style="4" customWidth="1"/>
    <col min="4104" max="4104" width="10.7109375" style="4" customWidth="1"/>
    <col min="4105" max="4105" width="2.7109375" style="4" customWidth="1"/>
    <col min="4106" max="4106" width="6.7109375" style="4" customWidth="1"/>
    <col min="4107" max="4107" width="3" style="4" customWidth="1"/>
    <col min="4108" max="4108" width="17.7109375" style="4" customWidth="1"/>
    <col min="4109" max="4109" width="10.5703125" style="4" customWidth="1"/>
    <col min="4110" max="4110" width="17.28515625" style="4" bestFit="1" customWidth="1"/>
    <col min="4111" max="4125" width="11.7109375" style="4" customWidth="1"/>
    <col min="4126" max="4352" width="8.7109375" style="4"/>
    <col min="4353" max="4353" width="34.5703125" style="4" customWidth="1"/>
    <col min="4354" max="4354" width="9.85546875" style="4" customWidth="1"/>
    <col min="4355" max="4355" width="8.7109375" style="4"/>
    <col min="4356" max="4356" width="3" style="4" customWidth="1"/>
    <col min="4357" max="4357" width="18.42578125" style="4" customWidth="1"/>
    <col min="4358" max="4358" width="0" style="4" hidden="1" customWidth="1"/>
    <col min="4359" max="4359" width="3" style="4" customWidth="1"/>
    <col min="4360" max="4360" width="10.7109375" style="4" customWidth="1"/>
    <col min="4361" max="4361" width="2.7109375" style="4" customWidth="1"/>
    <col min="4362" max="4362" width="6.7109375" style="4" customWidth="1"/>
    <col min="4363" max="4363" width="3" style="4" customWidth="1"/>
    <col min="4364" max="4364" width="17.7109375" style="4" customWidth="1"/>
    <col min="4365" max="4365" width="10.5703125" style="4" customWidth="1"/>
    <col min="4366" max="4366" width="17.28515625" style="4" bestFit="1" customWidth="1"/>
    <col min="4367" max="4381" width="11.7109375" style="4" customWidth="1"/>
    <col min="4382" max="4608" width="8.7109375" style="4"/>
    <col min="4609" max="4609" width="34.5703125" style="4" customWidth="1"/>
    <col min="4610" max="4610" width="9.85546875" style="4" customWidth="1"/>
    <col min="4611" max="4611" width="8.7109375" style="4"/>
    <col min="4612" max="4612" width="3" style="4" customWidth="1"/>
    <col min="4613" max="4613" width="18.42578125" style="4" customWidth="1"/>
    <col min="4614" max="4614" width="0" style="4" hidden="1" customWidth="1"/>
    <col min="4615" max="4615" width="3" style="4" customWidth="1"/>
    <col min="4616" max="4616" width="10.7109375" style="4" customWidth="1"/>
    <col min="4617" max="4617" width="2.7109375" style="4" customWidth="1"/>
    <col min="4618" max="4618" width="6.7109375" style="4" customWidth="1"/>
    <col min="4619" max="4619" width="3" style="4" customWidth="1"/>
    <col min="4620" max="4620" width="17.7109375" style="4" customWidth="1"/>
    <col min="4621" max="4621" width="10.5703125" style="4" customWidth="1"/>
    <col min="4622" max="4622" width="17.28515625" style="4" bestFit="1" customWidth="1"/>
    <col min="4623" max="4637" width="11.7109375" style="4" customWidth="1"/>
    <col min="4638" max="4864" width="8.7109375" style="4"/>
    <col min="4865" max="4865" width="34.5703125" style="4" customWidth="1"/>
    <col min="4866" max="4866" width="9.85546875" style="4" customWidth="1"/>
    <col min="4867" max="4867" width="8.7109375" style="4"/>
    <col min="4868" max="4868" width="3" style="4" customWidth="1"/>
    <col min="4869" max="4869" width="18.42578125" style="4" customWidth="1"/>
    <col min="4870" max="4870" width="0" style="4" hidden="1" customWidth="1"/>
    <col min="4871" max="4871" width="3" style="4" customWidth="1"/>
    <col min="4872" max="4872" width="10.7109375" style="4" customWidth="1"/>
    <col min="4873" max="4873" width="2.7109375" style="4" customWidth="1"/>
    <col min="4874" max="4874" width="6.7109375" style="4" customWidth="1"/>
    <col min="4875" max="4875" width="3" style="4" customWidth="1"/>
    <col min="4876" max="4876" width="17.7109375" style="4" customWidth="1"/>
    <col min="4877" max="4877" width="10.5703125" style="4" customWidth="1"/>
    <col min="4878" max="4878" width="17.28515625" style="4" bestFit="1" customWidth="1"/>
    <col min="4879" max="4893" width="11.7109375" style="4" customWidth="1"/>
    <col min="4894" max="5120" width="8.7109375" style="4"/>
    <col min="5121" max="5121" width="34.5703125" style="4" customWidth="1"/>
    <col min="5122" max="5122" width="9.85546875" style="4" customWidth="1"/>
    <col min="5123" max="5123" width="8.7109375" style="4"/>
    <col min="5124" max="5124" width="3" style="4" customWidth="1"/>
    <col min="5125" max="5125" width="18.42578125" style="4" customWidth="1"/>
    <col min="5126" max="5126" width="0" style="4" hidden="1" customWidth="1"/>
    <col min="5127" max="5127" width="3" style="4" customWidth="1"/>
    <col min="5128" max="5128" width="10.7109375" style="4" customWidth="1"/>
    <col min="5129" max="5129" width="2.7109375" style="4" customWidth="1"/>
    <col min="5130" max="5130" width="6.7109375" style="4" customWidth="1"/>
    <col min="5131" max="5131" width="3" style="4" customWidth="1"/>
    <col min="5132" max="5132" width="17.7109375" style="4" customWidth="1"/>
    <col min="5133" max="5133" width="10.5703125" style="4" customWidth="1"/>
    <col min="5134" max="5134" width="17.28515625" style="4" bestFit="1" customWidth="1"/>
    <col min="5135" max="5149" width="11.7109375" style="4" customWidth="1"/>
    <col min="5150" max="5376" width="8.7109375" style="4"/>
    <col min="5377" max="5377" width="34.5703125" style="4" customWidth="1"/>
    <col min="5378" max="5378" width="9.85546875" style="4" customWidth="1"/>
    <col min="5379" max="5379" width="8.7109375" style="4"/>
    <col min="5380" max="5380" width="3" style="4" customWidth="1"/>
    <col min="5381" max="5381" width="18.42578125" style="4" customWidth="1"/>
    <col min="5382" max="5382" width="0" style="4" hidden="1" customWidth="1"/>
    <col min="5383" max="5383" width="3" style="4" customWidth="1"/>
    <col min="5384" max="5384" width="10.7109375" style="4" customWidth="1"/>
    <col min="5385" max="5385" width="2.7109375" style="4" customWidth="1"/>
    <col min="5386" max="5386" width="6.7109375" style="4" customWidth="1"/>
    <col min="5387" max="5387" width="3" style="4" customWidth="1"/>
    <col min="5388" max="5388" width="17.7109375" style="4" customWidth="1"/>
    <col min="5389" max="5389" width="10.5703125" style="4" customWidth="1"/>
    <col min="5390" max="5390" width="17.28515625" style="4" bestFit="1" customWidth="1"/>
    <col min="5391" max="5405" width="11.7109375" style="4" customWidth="1"/>
    <col min="5406" max="5632" width="8.7109375" style="4"/>
    <col min="5633" max="5633" width="34.5703125" style="4" customWidth="1"/>
    <col min="5634" max="5634" width="9.85546875" style="4" customWidth="1"/>
    <col min="5635" max="5635" width="8.7109375" style="4"/>
    <col min="5636" max="5636" width="3" style="4" customWidth="1"/>
    <col min="5637" max="5637" width="18.42578125" style="4" customWidth="1"/>
    <col min="5638" max="5638" width="0" style="4" hidden="1" customWidth="1"/>
    <col min="5639" max="5639" width="3" style="4" customWidth="1"/>
    <col min="5640" max="5640" width="10.7109375" style="4" customWidth="1"/>
    <col min="5641" max="5641" width="2.7109375" style="4" customWidth="1"/>
    <col min="5642" max="5642" width="6.7109375" style="4" customWidth="1"/>
    <col min="5643" max="5643" width="3" style="4" customWidth="1"/>
    <col min="5644" max="5644" width="17.7109375" style="4" customWidth="1"/>
    <col min="5645" max="5645" width="10.5703125" style="4" customWidth="1"/>
    <col min="5646" max="5646" width="17.28515625" style="4" bestFit="1" customWidth="1"/>
    <col min="5647" max="5661" width="11.7109375" style="4" customWidth="1"/>
    <col min="5662" max="5888" width="8.7109375" style="4"/>
    <col min="5889" max="5889" width="34.5703125" style="4" customWidth="1"/>
    <col min="5890" max="5890" width="9.85546875" style="4" customWidth="1"/>
    <col min="5891" max="5891" width="8.7109375" style="4"/>
    <col min="5892" max="5892" width="3" style="4" customWidth="1"/>
    <col min="5893" max="5893" width="18.42578125" style="4" customWidth="1"/>
    <col min="5894" max="5894" width="0" style="4" hidden="1" customWidth="1"/>
    <col min="5895" max="5895" width="3" style="4" customWidth="1"/>
    <col min="5896" max="5896" width="10.7109375" style="4" customWidth="1"/>
    <col min="5897" max="5897" width="2.7109375" style="4" customWidth="1"/>
    <col min="5898" max="5898" width="6.7109375" style="4" customWidth="1"/>
    <col min="5899" max="5899" width="3" style="4" customWidth="1"/>
    <col min="5900" max="5900" width="17.7109375" style="4" customWidth="1"/>
    <col min="5901" max="5901" width="10.5703125" style="4" customWidth="1"/>
    <col min="5902" max="5902" width="17.28515625" style="4" bestFit="1" customWidth="1"/>
    <col min="5903" max="5917" width="11.7109375" style="4" customWidth="1"/>
    <col min="5918" max="6144" width="8.7109375" style="4"/>
    <col min="6145" max="6145" width="34.5703125" style="4" customWidth="1"/>
    <col min="6146" max="6146" width="9.85546875" style="4" customWidth="1"/>
    <col min="6147" max="6147" width="8.7109375" style="4"/>
    <col min="6148" max="6148" width="3" style="4" customWidth="1"/>
    <col min="6149" max="6149" width="18.42578125" style="4" customWidth="1"/>
    <col min="6150" max="6150" width="0" style="4" hidden="1" customWidth="1"/>
    <col min="6151" max="6151" width="3" style="4" customWidth="1"/>
    <col min="6152" max="6152" width="10.7109375" style="4" customWidth="1"/>
    <col min="6153" max="6153" width="2.7109375" style="4" customWidth="1"/>
    <col min="6154" max="6154" width="6.7109375" style="4" customWidth="1"/>
    <col min="6155" max="6155" width="3" style="4" customWidth="1"/>
    <col min="6156" max="6156" width="17.7109375" style="4" customWidth="1"/>
    <col min="6157" max="6157" width="10.5703125" style="4" customWidth="1"/>
    <col min="6158" max="6158" width="17.28515625" style="4" bestFit="1" customWidth="1"/>
    <col min="6159" max="6173" width="11.7109375" style="4" customWidth="1"/>
    <col min="6174" max="6400" width="8.7109375" style="4"/>
    <col min="6401" max="6401" width="34.5703125" style="4" customWidth="1"/>
    <col min="6402" max="6402" width="9.85546875" style="4" customWidth="1"/>
    <col min="6403" max="6403" width="8.7109375" style="4"/>
    <col min="6404" max="6404" width="3" style="4" customWidth="1"/>
    <col min="6405" max="6405" width="18.42578125" style="4" customWidth="1"/>
    <col min="6406" max="6406" width="0" style="4" hidden="1" customWidth="1"/>
    <col min="6407" max="6407" width="3" style="4" customWidth="1"/>
    <col min="6408" max="6408" width="10.7109375" style="4" customWidth="1"/>
    <col min="6409" max="6409" width="2.7109375" style="4" customWidth="1"/>
    <col min="6410" max="6410" width="6.7109375" style="4" customWidth="1"/>
    <col min="6411" max="6411" width="3" style="4" customWidth="1"/>
    <col min="6412" max="6412" width="17.7109375" style="4" customWidth="1"/>
    <col min="6413" max="6413" width="10.5703125" style="4" customWidth="1"/>
    <col min="6414" max="6414" width="17.28515625" style="4" bestFit="1" customWidth="1"/>
    <col min="6415" max="6429" width="11.7109375" style="4" customWidth="1"/>
    <col min="6430" max="6656" width="8.7109375" style="4"/>
    <col min="6657" max="6657" width="34.5703125" style="4" customWidth="1"/>
    <col min="6658" max="6658" width="9.85546875" style="4" customWidth="1"/>
    <col min="6659" max="6659" width="8.7109375" style="4"/>
    <col min="6660" max="6660" width="3" style="4" customWidth="1"/>
    <col min="6661" max="6661" width="18.42578125" style="4" customWidth="1"/>
    <col min="6662" max="6662" width="0" style="4" hidden="1" customWidth="1"/>
    <col min="6663" max="6663" width="3" style="4" customWidth="1"/>
    <col min="6664" max="6664" width="10.7109375" style="4" customWidth="1"/>
    <col min="6665" max="6665" width="2.7109375" style="4" customWidth="1"/>
    <col min="6666" max="6666" width="6.7109375" style="4" customWidth="1"/>
    <col min="6667" max="6667" width="3" style="4" customWidth="1"/>
    <col min="6668" max="6668" width="17.7109375" style="4" customWidth="1"/>
    <col min="6669" max="6669" width="10.5703125" style="4" customWidth="1"/>
    <col min="6670" max="6670" width="17.28515625" style="4" bestFit="1" customWidth="1"/>
    <col min="6671" max="6685" width="11.7109375" style="4" customWidth="1"/>
    <col min="6686" max="6912" width="8.7109375" style="4"/>
    <col min="6913" max="6913" width="34.5703125" style="4" customWidth="1"/>
    <col min="6914" max="6914" width="9.85546875" style="4" customWidth="1"/>
    <col min="6915" max="6915" width="8.7109375" style="4"/>
    <col min="6916" max="6916" width="3" style="4" customWidth="1"/>
    <col min="6917" max="6917" width="18.42578125" style="4" customWidth="1"/>
    <col min="6918" max="6918" width="0" style="4" hidden="1" customWidth="1"/>
    <col min="6919" max="6919" width="3" style="4" customWidth="1"/>
    <col min="6920" max="6920" width="10.7109375" style="4" customWidth="1"/>
    <col min="6921" max="6921" width="2.7109375" style="4" customWidth="1"/>
    <col min="6922" max="6922" width="6.7109375" style="4" customWidth="1"/>
    <col min="6923" max="6923" width="3" style="4" customWidth="1"/>
    <col min="6924" max="6924" width="17.7109375" style="4" customWidth="1"/>
    <col min="6925" max="6925" width="10.5703125" style="4" customWidth="1"/>
    <col min="6926" max="6926" width="17.28515625" style="4" bestFit="1" customWidth="1"/>
    <col min="6927" max="6941" width="11.7109375" style="4" customWidth="1"/>
    <col min="6942" max="7168" width="8.7109375" style="4"/>
    <col min="7169" max="7169" width="34.5703125" style="4" customWidth="1"/>
    <col min="7170" max="7170" width="9.85546875" style="4" customWidth="1"/>
    <col min="7171" max="7171" width="8.7109375" style="4"/>
    <col min="7172" max="7172" width="3" style="4" customWidth="1"/>
    <col min="7173" max="7173" width="18.42578125" style="4" customWidth="1"/>
    <col min="7174" max="7174" width="0" style="4" hidden="1" customWidth="1"/>
    <col min="7175" max="7175" width="3" style="4" customWidth="1"/>
    <col min="7176" max="7176" width="10.7109375" style="4" customWidth="1"/>
    <col min="7177" max="7177" width="2.7109375" style="4" customWidth="1"/>
    <col min="7178" max="7178" width="6.7109375" style="4" customWidth="1"/>
    <col min="7179" max="7179" width="3" style="4" customWidth="1"/>
    <col min="7180" max="7180" width="17.7109375" style="4" customWidth="1"/>
    <col min="7181" max="7181" width="10.5703125" style="4" customWidth="1"/>
    <col min="7182" max="7182" width="17.28515625" style="4" bestFit="1" customWidth="1"/>
    <col min="7183" max="7197" width="11.7109375" style="4" customWidth="1"/>
    <col min="7198" max="7424" width="8.7109375" style="4"/>
    <col min="7425" max="7425" width="34.5703125" style="4" customWidth="1"/>
    <col min="7426" max="7426" width="9.85546875" style="4" customWidth="1"/>
    <col min="7427" max="7427" width="8.7109375" style="4"/>
    <col min="7428" max="7428" width="3" style="4" customWidth="1"/>
    <col min="7429" max="7429" width="18.42578125" style="4" customWidth="1"/>
    <col min="7430" max="7430" width="0" style="4" hidden="1" customWidth="1"/>
    <col min="7431" max="7431" width="3" style="4" customWidth="1"/>
    <col min="7432" max="7432" width="10.7109375" style="4" customWidth="1"/>
    <col min="7433" max="7433" width="2.7109375" style="4" customWidth="1"/>
    <col min="7434" max="7434" width="6.7109375" style="4" customWidth="1"/>
    <col min="7435" max="7435" width="3" style="4" customWidth="1"/>
    <col min="7436" max="7436" width="17.7109375" style="4" customWidth="1"/>
    <col min="7437" max="7437" width="10.5703125" style="4" customWidth="1"/>
    <col min="7438" max="7438" width="17.28515625" style="4" bestFit="1" customWidth="1"/>
    <col min="7439" max="7453" width="11.7109375" style="4" customWidth="1"/>
    <col min="7454" max="7680" width="8.7109375" style="4"/>
    <col min="7681" max="7681" width="34.5703125" style="4" customWidth="1"/>
    <col min="7682" max="7682" width="9.85546875" style="4" customWidth="1"/>
    <col min="7683" max="7683" width="8.7109375" style="4"/>
    <col min="7684" max="7684" width="3" style="4" customWidth="1"/>
    <col min="7685" max="7685" width="18.42578125" style="4" customWidth="1"/>
    <col min="7686" max="7686" width="0" style="4" hidden="1" customWidth="1"/>
    <col min="7687" max="7687" width="3" style="4" customWidth="1"/>
    <col min="7688" max="7688" width="10.7109375" style="4" customWidth="1"/>
    <col min="7689" max="7689" width="2.7109375" style="4" customWidth="1"/>
    <col min="7690" max="7690" width="6.7109375" style="4" customWidth="1"/>
    <col min="7691" max="7691" width="3" style="4" customWidth="1"/>
    <col min="7692" max="7692" width="17.7109375" style="4" customWidth="1"/>
    <col min="7693" max="7693" width="10.5703125" style="4" customWidth="1"/>
    <col min="7694" max="7694" width="17.28515625" style="4" bestFit="1" customWidth="1"/>
    <col min="7695" max="7709" width="11.7109375" style="4" customWidth="1"/>
    <col min="7710" max="7936" width="8.7109375" style="4"/>
    <col min="7937" max="7937" width="34.5703125" style="4" customWidth="1"/>
    <col min="7938" max="7938" width="9.85546875" style="4" customWidth="1"/>
    <col min="7939" max="7939" width="8.7109375" style="4"/>
    <col min="7940" max="7940" width="3" style="4" customWidth="1"/>
    <col min="7941" max="7941" width="18.42578125" style="4" customWidth="1"/>
    <col min="7942" max="7942" width="0" style="4" hidden="1" customWidth="1"/>
    <col min="7943" max="7943" width="3" style="4" customWidth="1"/>
    <col min="7944" max="7944" width="10.7109375" style="4" customWidth="1"/>
    <col min="7945" max="7945" width="2.7109375" style="4" customWidth="1"/>
    <col min="7946" max="7946" width="6.7109375" style="4" customWidth="1"/>
    <col min="7947" max="7947" width="3" style="4" customWidth="1"/>
    <col min="7948" max="7948" width="17.7109375" style="4" customWidth="1"/>
    <col min="7949" max="7949" width="10.5703125" style="4" customWidth="1"/>
    <col min="7950" max="7950" width="17.28515625" style="4" bestFit="1" customWidth="1"/>
    <col min="7951" max="7965" width="11.7109375" style="4" customWidth="1"/>
    <col min="7966" max="8192" width="8.7109375" style="4"/>
    <col min="8193" max="8193" width="34.5703125" style="4" customWidth="1"/>
    <col min="8194" max="8194" width="9.85546875" style="4" customWidth="1"/>
    <col min="8195" max="8195" width="8.7109375" style="4"/>
    <col min="8196" max="8196" width="3" style="4" customWidth="1"/>
    <col min="8197" max="8197" width="18.42578125" style="4" customWidth="1"/>
    <col min="8198" max="8198" width="0" style="4" hidden="1" customWidth="1"/>
    <col min="8199" max="8199" width="3" style="4" customWidth="1"/>
    <col min="8200" max="8200" width="10.7109375" style="4" customWidth="1"/>
    <col min="8201" max="8201" width="2.7109375" style="4" customWidth="1"/>
    <col min="8202" max="8202" width="6.7109375" style="4" customWidth="1"/>
    <col min="8203" max="8203" width="3" style="4" customWidth="1"/>
    <col min="8204" max="8204" width="17.7109375" style="4" customWidth="1"/>
    <col min="8205" max="8205" width="10.5703125" style="4" customWidth="1"/>
    <col min="8206" max="8206" width="17.28515625" style="4" bestFit="1" customWidth="1"/>
    <col min="8207" max="8221" width="11.7109375" style="4" customWidth="1"/>
    <col min="8222" max="8448" width="8.7109375" style="4"/>
    <col min="8449" max="8449" width="34.5703125" style="4" customWidth="1"/>
    <col min="8450" max="8450" width="9.85546875" style="4" customWidth="1"/>
    <col min="8451" max="8451" width="8.7109375" style="4"/>
    <col min="8452" max="8452" width="3" style="4" customWidth="1"/>
    <col min="8453" max="8453" width="18.42578125" style="4" customWidth="1"/>
    <col min="8454" max="8454" width="0" style="4" hidden="1" customWidth="1"/>
    <col min="8455" max="8455" width="3" style="4" customWidth="1"/>
    <col min="8456" max="8456" width="10.7109375" style="4" customWidth="1"/>
    <col min="8457" max="8457" width="2.7109375" style="4" customWidth="1"/>
    <col min="8458" max="8458" width="6.7109375" style="4" customWidth="1"/>
    <col min="8459" max="8459" width="3" style="4" customWidth="1"/>
    <col min="8460" max="8460" width="17.7109375" style="4" customWidth="1"/>
    <col min="8461" max="8461" width="10.5703125" style="4" customWidth="1"/>
    <col min="8462" max="8462" width="17.28515625" style="4" bestFit="1" customWidth="1"/>
    <col min="8463" max="8477" width="11.7109375" style="4" customWidth="1"/>
    <col min="8478" max="8704" width="8.7109375" style="4"/>
    <col min="8705" max="8705" width="34.5703125" style="4" customWidth="1"/>
    <col min="8706" max="8706" width="9.85546875" style="4" customWidth="1"/>
    <col min="8707" max="8707" width="8.7109375" style="4"/>
    <col min="8708" max="8708" width="3" style="4" customWidth="1"/>
    <col min="8709" max="8709" width="18.42578125" style="4" customWidth="1"/>
    <col min="8710" max="8710" width="0" style="4" hidden="1" customWidth="1"/>
    <col min="8711" max="8711" width="3" style="4" customWidth="1"/>
    <col min="8712" max="8712" width="10.7109375" style="4" customWidth="1"/>
    <col min="8713" max="8713" width="2.7109375" style="4" customWidth="1"/>
    <col min="8714" max="8714" width="6.7109375" style="4" customWidth="1"/>
    <col min="8715" max="8715" width="3" style="4" customWidth="1"/>
    <col min="8716" max="8716" width="17.7109375" style="4" customWidth="1"/>
    <col min="8717" max="8717" width="10.5703125" style="4" customWidth="1"/>
    <col min="8718" max="8718" width="17.28515625" style="4" bestFit="1" customWidth="1"/>
    <col min="8719" max="8733" width="11.7109375" style="4" customWidth="1"/>
    <col min="8734" max="8960" width="8.7109375" style="4"/>
    <col min="8961" max="8961" width="34.5703125" style="4" customWidth="1"/>
    <col min="8962" max="8962" width="9.85546875" style="4" customWidth="1"/>
    <col min="8963" max="8963" width="8.7109375" style="4"/>
    <col min="8964" max="8964" width="3" style="4" customWidth="1"/>
    <col min="8965" max="8965" width="18.42578125" style="4" customWidth="1"/>
    <col min="8966" max="8966" width="0" style="4" hidden="1" customWidth="1"/>
    <col min="8967" max="8967" width="3" style="4" customWidth="1"/>
    <col min="8968" max="8968" width="10.7109375" style="4" customWidth="1"/>
    <col min="8969" max="8969" width="2.7109375" style="4" customWidth="1"/>
    <col min="8970" max="8970" width="6.7109375" style="4" customWidth="1"/>
    <col min="8971" max="8971" width="3" style="4" customWidth="1"/>
    <col min="8972" max="8972" width="17.7109375" style="4" customWidth="1"/>
    <col min="8973" max="8973" width="10.5703125" style="4" customWidth="1"/>
    <col min="8974" max="8974" width="17.28515625" style="4" bestFit="1" customWidth="1"/>
    <col min="8975" max="8989" width="11.7109375" style="4" customWidth="1"/>
    <col min="8990" max="9216" width="8.7109375" style="4"/>
    <col min="9217" max="9217" width="34.5703125" style="4" customWidth="1"/>
    <col min="9218" max="9218" width="9.85546875" style="4" customWidth="1"/>
    <col min="9219" max="9219" width="8.7109375" style="4"/>
    <col min="9220" max="9220" width="3" style="4" customWidth="1"/>
    <col min="9221" max="9221" width="18.42578125" style="4" customWidth="1"/>
    <col min="9222" max="9222" width="0" style="4" hidden="1" customWidth="1"/>
    <col min="9223" max="9223" width="3" style="4" customWidth="1"/>
    <col min="9224" max="9224" width="10.7109375" style="4" customWidth="1"/>
    <col min="9225" max="9225" width="2.7109375" style="4" customWidth="1"/>
    <col min="9226" max="9226" width="6.7109375" style="4" customWidth="1"/>
    <col min="9227" max="9227" width="3" style="4" customWidth="1"/>
    <col min="9228" max="9228" width="17.7109375" style="4" customWidth="1"/>
    <col min="9229" max="9229" width="10.5703125" style="4" customWidth="1"/>
    <col min="9230" max="9230" width="17.28515625" style="4" bestFit="1" customWidth="1"/>
    <col min="9231" max="9245" width="11.7109375" style="4" customWidth="1"/>
    <col min="9246" max="9472" width="8.7109375" style="4"/>
    <col min="9473" max="9473" width="34.5703125" style="4" customWidth="1"/>
    <col min="9474" max="9474" width="9.85546875" style="4" customWidth="1"/>
    <col min="9475" max="9475" width="8.7109375" style="4"/>
    <col min="9476" max="9476" width="3" style="4" customWidth="1"/>
    <col min="9477" max="9477" width="18.42578125" style="4" customWidth="1"/>
    <col min="9478" max="9478" width="0" style="4" hidden="1" customWidth="1"/>
    <col min="9479" max="9479" width="3" style="4" customWidth="1"/>
    <col min="9480" max="9480" width="10.7109375" style="4" customWidth="1"/>
    <col min="9481" max="9481" width="2.7109375" style="4" customWidth="1"/>
    <col min="9482" max="9482" width="6.7109375" style="4" customWidth="1"/>
    <col min="9483" max="9483" width="3" style="4" customWidth="1"/>
    <col min="9484" max="9484" width="17.7109375" style="4" customWidth="1"/>
    <col min="9485" max="9485" width="10.5703125" style="4" customWidth="1"/>
    <col min="9486" max="9486" width="17.28515625" style="4" bestFit="1" customWidth="1"/>
    <col min="9487" max="9501" width="11.7109375" style="4" customWidth="1"/>
    <col min="9502" max="9728" width="8.7109375" style="4"/>
    <col min="9729" max="9729" width="34.5703125" style="4" customWidth="1"/>
    <col min="9730" max="9730" width="9.85546875" style="4" customWidth="1"/>
    <col min="9731" max="9731" width="8.7109375" style="4"/>
    <col min="9732" max="9732" width="3" style="4" customWidth="1"/>
    <col min="9733" max="9733" width="18.42578125" style="4" customWidth="1"/>
    <col min="9734" max="9734" width="0" style="4" hidden="1" customWidth="1"/>
    <col min="9735" max="9735" width="3" style="4" customWidth="1"/>
    <col min="9736" max="9736" width="10.7109375" style="4" customWidth="1"/>
    <col min="9737" max="9737" width="2.7109375" style="4" customWidth="1"/>
    <col min="9738" max="9738" width="6.7109375" style="4" customWidth="1"/>
    <col min="9739" max="9739" width="3" style="4" customWidth="1"/>
    <col min="9740" max="9740" width="17.7109375" style="4" customWidth="1"/>
    <col min="9741" max="9741" width="10.5703125" style="4" customWidth="1"/>
    <col min="9742" max="9742" width="17.28515625" style="4" bestFit="1" customWidth="1"/>
    <col min="9743" max="9757" width="11.7109375" style="4" customWidth="1"/>
    <col min="9758" max="9984" width="8.7109375" style="4"/>
    <col min="9985" max="9985" width="34.5703125" style="4" customWidth="1"/>
    <col min="9986" max="9986" width="9.85546875" style="4" customWidth="1"/>
    <col min="9987" max="9987" width="8.7109375" style="4"/>
    <col min="9988" max="9988" width="3" style="4" customWidth="1"/>
    <col min="9989" max="9989" width="18.42578125" style="4" customWidth="1"/>
    <col min="9990" max="9990" width="0" style="4" hidden="1" customWidth="1"/>
    <col min="9991" max="9991" width="3" style="4" customWidth="1"/>
    <col min="9992" max="9992" width="10.7109375" style="4" customWidth="1"/>
    <col min="9993" max="9993" width="2.7109375" style="4" customWidth="1"/>
    <col min="9994" max="9994" width="6.7109375" style="4" customWidth="1"/>
    <col min="9995" max="9995" width="3" style="4" customWidth="1"/>
    <col min="9996" max="9996" width="17.7109375" style="4" customWidth="1"/>
    <col min="9997" max="9997" width="10.5703125" style="4" customWidth="1"/>
    <col min="9998" max="9998" width="17.28515625" style="4" bestFit="1" customWidth="1"/>
    <col min="9999" max="10013" width="11.7109375" style="4" customWidth="1"/>
    <col min="10014" max="10240" width="8.7109375" style="4"/>
    <col min="10241" max="10241" width="34.5703125" style="4" customWidth="1"/>
    <col min="10242" max="10242" width="9.85546875" style="4" customWidth="1"/>
    <col min="10243" max="10243" width="8.7109375" style="4"/>
    <col min="10244" max="10244" width="3" style="4" customWidth="1"/>
    <col min="10245" max="10245" width="18.42578125" style="4" customWidth="1"/>
    <col min="10246" max="10246" width="0" style="4" hidden="1" customWidth="1"/>
    <col min="10247" max="10247" width="3" style="4" customWidth="1"/>
    <col min="10248" max="10248" width="10.7109375" style="4" customWidth="1"/>
    <col min="10249" max="10249" width="2.7109375" style="4" customWidth="1"/>
    <col min="10250" max="10250" width="6.7109375" style="4" customWidth="1"/>
    <col min="10251" max="10251" width="3" style="4" customWidth="1"/>
    <col min="10252" max="10252" width="17.7109375" style="4" customWidth="1"/>
    <col min="10253" max="10253" width="10.5703125" style="4" customWidth="1"/>
    <col min="10254" max="10254" width="17.28515625" style="4" bestFit="1" customWidth="1"/>
    <col min="10255" max="10269" width="11.7109375" style="4" customWidth="1"/>
    <col min="10270" max="10496" width="8.7109375" style="4"/>
    <col min="10497" max="10497" width="34.5703125" style="4" customWidth="1"/>
    <col min="10498" max="10498" width="9.85546875" style="4" customWidth="1"/>
    <col min="10499" max="10499" width="8.7109375" style="4"/>
    <col min="10500" max="10500" width="3" style="4" customWidth="1"/>
    <col min="10501" max="10501" width="18.42578125" style="4" customWidth="1"/>
    <col min="10502" max="10502" width="0" style="4" hidden="1" customWidth="1"/>
    <col min="10503" max="10503" width="3" style="4" customWidth="1"/>
    <col min="10504" max="10504" width="10.7109375" style="4" customWidth="1"/>
    <col min="10505" max="10505" width="2.7109375" style="4" customWidth="1"/>
    <col min="10506" max="10506" width="6.7109375" style="4" customWidth="1"/>
    <col min="10507" max="10507" width="3" style="4" customWidth="1"/>
    <col min="10508" max="10508" width="17.7109375" style="4" customWidth="1"/>
    <col min="10509" max="10509" width="10.5703125" style="4" customWidth="1"/>
    <col min="10510" max="10510" width="17.28515625" style="4" bestFit="1" customWidth="1"/>
    <col min="10511" max="10525" width="11.7109375" style="4" customWidth="1"/>
    <col min="10526" max="10752" width="8.7109375" style="4"/>
    <col min="10753" max="10753" width="34.5703125" style="4" customWidth="1"/>
    <col min="10754" max="10754" width="9.85546875" style="4" customWidth="1"/>
    <col min="10755" max="10755" width="8.7109375" style="4"/>
    <col min="10756" max="10756" width="3" style="4" customWidth="1"/>
    <col min="10757" max="10757" width="18.42578125" style="4" customWidth="1"/>
    <col min="10758" max="10758" width="0" style="4" hidden="1" customWidth="1"/>
    <col min="10759" max="10759" width="3" style="4" customWidth="1"/>
    <col min="10760" max="10760" width="10.7109375" style="4" customWidth="1"/>
    <col min="10761" max="10761" width="2.7109375" style="4" customWidth="1"/>
    <col min="10762" max="10762" width="6.7109375" style="4" customWidth="1"/>
    <col min="10763" max="10763" width="3" style="4" customWidth="1"/>
    <col min="10764" max="10764" width="17.7109375" style="4" customWidth="1"/>
    <col min="10765" max="10765" width="10.5703125" style="4" customWidth="1"/>
    <col min="10766" max="10766" width="17.28515625" style="4" bestFit="1" customWidth="1"/>
    <col min="10767" max="10781" width="11.7109375" style="4" customWidth="1"/>
    <col min="10782" max="11008" width="8.7109375" style="4"/>
    <col min="11009" max="11009" width="34.5703125" style="4" customWidth="1"/>
    <col min="11010" max="11010" width="9.85546875" style="4" customWidth="1"/>
    <col min="11011" max="11011" width="8.7109375" style="4"/>
    <col min="11012" max="11012" width="3" style="4" customWidth="1"/>
    <col min="11013" max="11013" width="18.42578125" style="4" customWidth="1"/>
    <col min="11014" max="11014" width="0" style="4" hidden="1" customWidth="1"/>
    <col min="11015" max="11015" width="3" style="4" customWidth="1"/>
    <col min="11016" max="11016" width="10.7109375" style="4" customWidth="1"/>
    <col min="11017" max="11017" width="2.7109375" style="4" customWidth="1"/>
    <col min="11018" max="11018" width="6.7109375" style="4" customWidth="1"/>
    <col min="11019" max="11019" width="3" style="4" customWidth="1"/>
    <col min="11020" max="11020" width="17.7109375" style="4" customWidth="1"/>
    <col min="11021" max="11021" width="10.5703125" style="4" customWidth="1"/>
    <col min="11022" max="11022" width="17.28515625" style="4" bestFit="1" customWidth="1"/>
    <col min="11023" max="11037" width="11.7109375" style="4" customWidth="1"/>
    <col min="11038" max="11264" width="8.7109375" style="4"/>
    <col min="11265" max="11265" width="34.5703125" style="4" customWidth="1"/>
    <col min="11266" max="11266" width="9.85546875" style="4" customWidth="1"/>
    <col min="11267" max="11267" width="8.7109375" style="4"/>
    <col min="11268" max="11268" width="3" style="4" customWidth="1"/>
    <col min="11269" max="11269" width="18.42578125" style="4" customWidth="1"/>
    <col min="11270" max="11270" width="0" style="4" hidden="1" customWidth="1"/>
    <col min="11271" max="11271" width="3" style="4" customWidth="1"/>
    <col min="11272" max="11272" width="10.7109375" style="4" customWidth="1"/>
    <col min="11273" max="11273" width="2.7109375" style="4" customWidth="1"/>
    <col min="11274" max="11274" width="6.7109375" style="4" customWidth="1"/>
    <col min="11275" max="11275" width="3" style="4" customWidth="1"/>
    <col min="11276" max="11276" width="17.7109375" style="4" customWidth="1"/>
    <col min="11277" max="11277" width="10.5703125" style="4" customWidth="1"/>
    <col min="11278" max="11278" width="17.28515625" style="4" bestFit="1" customWidth="1"/>
    <col min="11279" max="11293" width="11.7109375" style="4" customWidth="1"/>
    <col min="11294" max="11520" width="8.7109375" style="4"/>
    <col min="11521" max="11521" width="34.5703125" style="4" customWidth="1"/>
    <col min="11522" max="11522" width="9.85546875" style="4" customWidth="1"/>
    <col min="11523" max="11523" width="8.7109375" style="4"/>
    <col min="11524" max="11524" width="3" style="4" customWidth="1"/>
    <col min="11525" max="11525" width="18.42578125" style="4" customWidth="1"/>
    <col min="11526" max="11526" width="0" style="4" hidden="1" customWidth="1"/>
    <col min="11527" max="11527" width="3" style="4" customWidth="1"/>
    <col min="11528" max="11528" width="10.7109375" style="4" customWidth="1"/>
    <col min="11529" max="11529" width="2.7109375" style="4" customWidth="1"/>
    <col min="11530" max="11530" width="6.7109375" style="4" customWidth="1"/>
    <col min="11531" max="11531" width="3" style="4" customWidth="1"/>
    <col min="11532" max="11532" width="17.7109375" style="4" customWidth="1"/>
    <col min="11533" max="11533" width="10.5703125" style="4" customWidth="1"/>
    <col min="11534" max="11534" width="17.28515625" style="4" bestFit="1" customWidth="1"/>
    <col min="11535" max="11549" width="11.7109375" style="4" customWidth="1"/>
    <col min="11550" max="11776" width="8.7109375" style="4"/>
    <col min="11777" max="11777" width="34.5703125" style="4" customWidth="1"/>
    <col min="11778" max="11778" width="9.85546875" style="4" customWidth="1"/>
    <col min="11779" max="11779" width="8.7109375" style="4"/>
    <col min="11780" max="11780" width="3" style="4" customWidth="1"/>
    <col min="11781" max="11781" width="18.42578125" style="4" customWidth="1"/>
    <col min="11782" max="11782" width="0" style="4" hidden="1" customWidth="1"/>
    <col min="11783" max="11783" width="3" style="4" customWidth="1"/>
    <col min="11784" max="11784" width="10.7109375" style="4" customWidth="1"/>
    <col min="11785" max="11785" width="2.7109375" style="4" customWidth="1"/>
    <col min="11786" max="11786" width="6.7109375" style="4" customWidth="1"/>
    <col min="11787" max="11787" width="3" style="4" customWidth="1"/>
    <col min="11788" max="11788" width="17.7109375" style="4" customWidth="1"/>
    <col min="11789" max="11789" width="10.5703125" style="4" customWidth="1"/>
    <col min="11790" max="11790" width="17.28515625" style="4" bestFit="1" customWidth="1"/>
    <col min="11791" max="11805" width="11.7109375" style="4" customWidth="1"/>
    <col min="11806" max="12032" width="8.7109375" style="4"/>
    <col min="12033" max="12033" width="34.5703125" style="4" customWidth="1"/>
    <col min="12034" max="12034" width="9.85546875" style="4" customWidth="1"/>
    <col min="12035" max="12035" width="8.7109375" style="4"/>
    <col min="12036" max="12036" width="3" style="4" customWidth="1"/>
    <col min="12037" max="12037" width="18.42578125" style="4" customWidth="1"/>
    <col min="12038" max="12038" width="0" style="4" hidden="1" customWidth="1"/>
    <col min="12039" max="12039" width="3" style="4" customWidth="1"/>
    <col min="12040" max="12040" width="10.7109375" style="4" customWidth="1"/>
    <col min="12041" max="12041" width="2.7109375" style="4" customWidth="1"/>
    <col min="12042" max="12042" width="6.7109375" style="4" customWidth="1"/>
    <col min="12043" max="12043" width="3" style="4" customWidth="1"/>
    <col min="12044" max="12044" width="17.7109375" style="4" customWidth="1"/>
    <col min="12045" max="12045" width="10.5703125" style="4" customWidth="1"/>
    <col min="12046" max="12046" width="17.28515625" style="4" bestFit="1" customWidth="1"/>
    <col min="12047" max="12061" width="11.7109375" style="4" customWidth="1"/>
    <col min="12062" max="12288" width="8.7109375" style="4"/>
    <col min="12289" max="12289" width="34.5703125" style="4" customWidth="1"/>
    <col min="12290" max="12290" width="9.85546875" style="4" customWidth="1"/>
    <col min="12291" max="12291" width="8.7109375" style="4"/>
    <col min="12292" max="12292" width="3" style="4" customWidth="1"/>
    <col min="12293" max="12293" width="18.42578125" style="4" customWidth="1"/>
    <col min="12294" max="12294" width="0" style="4" hidden="1" customWidth="1"/>
    <col min="12295" max="12295" width="3" style="4" customWidth="1"/>
    <col min="12296" max="12296" width="10.7109375" style="4" customWidth="1"/>
    <col min="12297" max="12297" width="2.7109375" style="4" customWidth="1"/>
    <col min="12298" max="12298" width="6.7109375" style="4" customWidth="1"/>
    <col min="12299" max="12299" width="3" style="4" customWidth="1"/>
    <col min="12300" max="12300" width="17.7109375" style="4" customWidth="1"/>
    <col min="12301" max="12301" width="10.5703125" style="4" customWidth="1"/>
    <col min="12302" max="12302" width="17.28515625" style="4" bestFit="1" customWidth="1"/>
    <col min="12303" max="12317" width="11.7109375" style="4" customWidth="1"/>
    <col min="12318" max="12544" width="8.7109375" style="4"/>
    <col min="12545" max="12545" width="34.5703125" style="4" customWidth="1"/>
    <col min="12546" max="12546" width="9.85546875" style="4" customWidth="1"/>
    <col min="12547" max="12547" width="8.7109375" style="4"/>
    <col min="12548" max="12548" width="3" style="4" customWidth="1"/>
    <col min="12549" max="12549" width="18.42578125" style="4" customWidth="1"/>
    <col min="12550" max="12550" width="0" style="4" hidden="1" customWidth="1"/>
    <col min="12551" max="12551" width="3" style="4" customWidth="1"/>
    <col min="12552" max="12552" width="10.7109375" style="4" customWidth="1"/>
    <col min="12553" max="12553" width="2.7109375" style="4" customWidth="1"/>
    <col min="12554" max="12554" width="6.7109375" style="4" customWidth="1"/>
    <col min="12555" max="12555" width="3" style="4" customWidth="1"/>
    <col min="12556" max="12556" width="17.7109375" style="4" customWidth="1"/>
    <col min="12557" max="12557" width="10.5703125" style="4" customWidth="1"/>
    <col min="12558" max="12558" width="17.28515625" style="4" bestFit="1" customWidth="1"/>
    <col min="12559" max="12573" width="11.7109375" style="4" customWidth="1"/>
    <col min="12574" max="12800" width="8.7109375" style="4"/>
    <col min="12801" max="12801" width="34.5703125" style="4" customWidth="1"/>
    <col min="12802" max="12802" width="9.85546875" style="4" customWidth="1"/>
    <col min="12803" max="12803" width="8.7109375" style="4"/>
    <col min="12804" max="12804" width="3" style="4" customWidth="1"/>
    <col min="12805" max="12805" width="18.42578125" style="4" customWidth="1"/>
    <col min="12806" max="12806" width="0" style="4" hidden="1" customWidth="1"/>
    <col min="12807" max="12807" width="3" style="4" customWidth="1"/>
    <col min="12808" max="12808" width="10.7109375" style="4" customWidth="1"/>
    <col min="12809" max="12809" width="2.7109375" style="4" customWidth="1"/>
    <col min="12810" max="12810" width="6.7109375" style="4" customWidth="1"/>
    <col min="12811" max="12811" width="3" style="4" customWidth="1"/>
    <col min="12812" max="12812" width="17.7109375" style="4" customWidth="1"/>
    <col min="12813" max="12813" width="10.5703125" style="4" customWidth="1"/>
    <col min="12814" max="12814" width="17.28515625" style="4" bestFit="1" customWidth="1"/>
    <col min="12815" max="12829" width="11.7109375" style="4" customWidth="1"/>
    <col min="12830" max="13056" width="8.7109375" style="4"/>
    <col min="13057" max="13057" width="34.5703125" style="4" customWidth="1"/>
    <col min="13058" max="13058" width="9.85546875" style="4" customWidth="1"/>
    <col min="13059" max="13059" width="8.7109375" style="4"/>
    <col min="13060" max="13060" width="3" style="4" customWidth="1"/>
    <col min="13061" max="13061" width="18.42578125" style="4" customWidth="1"/>
    <col min="13062" max="13062" width="0" style="4" hidden="1" customWidth="1"/>
    <col min="13063" max="13063" width="3" style="4" customWidth="1"/>
    <col min="13064" max="13064" width="10.7109375" style="4" customWidth="1"/>
    <col min="13065" max="13065" width="2.7109375" style="4" customWidth="1"/>
    <col min="13066" max="13066" width="6.7109375" style="4" customWidth="1"/>
    <col min="13067" max="13067" width="3" style="4" customWidth="1"/>
    <col min="13068" max="13068" width="17.7109375" style="4" customWidth="1"/>
    <col min="13069" max="13069" width="10.5703125" style="4" customWidth="1"/>
    <col min="13070" max="13070" width="17.28515625" style="4" bestFit="1" customWidth="1"/>
    <col min="13071" max="13085" width="11.7109375" style="4" customWidth="1"/>
    <col min="13086" max="13312" width="8.7109375" style="4"/>
    <col min="13313" max="13313" width="34.5703125" style="4" customWidth="1"/>
    <col min="13314" max="13314" width="9.85546875" style="4" customWidth="1"/>
    <col min="13315" max="13315" width="8.7109375" style="4"/>
    <col min="13316" max="13316" width="3" style="4" customWidth="1"/>
    <col min="13317" max="13317" width="18.42578125" style="4" customWidth="1"/>
    <col min="13318" max="13318" width="0" style="4" hidden="1" customWidth="1"/>
    <col min="13319" max="13319" width="3" style="4" customWidth="1"/>
    <col min="13320" max="13320" width="10.7109375" style="4" customWidth="1"/>
    <col min="13321" max="13321" width="2.7109375" style="4" customWidth="1"/>
    <col min="13322" max="13322" width="6.7109375" style="4" customWidth="1"/>
    <col min="13323" max="13323" width="3" style="4" customWidth="1"/>
    <col min="13324" max="13324" width="17.7109375" style="4" customWidth="1"/>
    <col min="13325" max="13325" width="10.5703125" style="4" customWidth="1"/>
    <col min="13326" max="13326" width="17.28515625" style="4" bestFit="1" customWidth="1"/>
    <col min="13327" max="13341" width="11.7109375" style="4" customWidth="1"/>
    <col min="13342" max="13568" width="8.7109375" style="4"/>
    <col min="13569" max="13569" width="34.5703125" style="4" customWidth="1"/>
    <col min="13570" max="13570" width="9.85546875" style="4" customWidth="1"/>
    <col min="13571" max="13571" width="8.7109375" style="4"/>
    <col min="13572" max="13572" width="3" style="4" customWidth="1"/>
    <col min="13573" max="13573" width="18.42578125" style="4" customWidth="1"/>
    <col min="13574" max="13574" width="0" style="4" hidden="1" customWidth="1"/>
    <col min="13575" max="13575" width="3" style="4" customWidth="1"/>
    <col min="13576" max="13576" width="10.7109375" style="4" customWidth="1"/>
    <col min="13577" max="13577" width="2.7109375" style="4" customWidth="1"/>
    <col min="13578" max="13578" width="6.7109375" style="4" customWidth="1"/>
    <col min="13579" max="13579" width="3" style="4" customWidth="1"/>
    <col min="13580" max="13580" width="17.7109375" style="4" customWidth="1"/>
    <col min="13581" max="13581" width="10.5703125" style="4" customWidth="1"/>
    <col min="13582" max="13582" width="17.28515625" style="4" bestFit="1" customWidth="1"/>
    <col min="13583" max="13597" width="11.7109375" style="4" customWidth="1"/>
    <col min="13598" max="13824" width="8.7109375" style="4"/>
    <col min="13825" max="13825" width="34.5703125" style="4" customWidth="1"/>
    <col min="13826" max="13826" width="9.85546875" style="4" customWidth="1"/>
    <col min="13827" max="13827" width="8.7109375" style="4"/>
    <col min="13828" max="13828" width="3" style="4" customWidth="1"/>
    <col min="13829" max="13829" width="18.42578125" style="4" customWidth="1"/>
    <col min="13830" max="13830" width="0" style="4" hidden="1" customWidth="1"/>
    <col min="13831" max="13831" width="3" style="4" customWidth="1"/>
    <col min="13832" max="13832" width="10.7109375" style="4" customWidth="1"/>
    <col min="13833" max="13833" width="2.7109375" style="4" customWidth="1"/>
    <col min="13834" max="13834" width="6.7109375" style="4" customWidth="1"/>
    <col min="13835" max="13835" width="3" style="4" customWidth="1"/>
    <col min="13836" max="13836" width="17.7109375" style="4" customWidth="1"/>
    <col min="13837" max="13837" width="10.5703125" style="4" customWidth="1"/>
    <col min="13838" max="13838" width="17.28515625" style="4" bestFit="1" customWidth="1"/>
    <col min="13839" max="13853" width="11.7109375" style="4" customWidth="1"/>
    <col min="13854" max="14080" width="8.7109375" style="4"/>
    <col min="14081" max="14081" width="34.5703125" style="4" customWidth="1"/>
    <col min="14082" max="14082" width="9.85546875" style="4" customWidth="1"/>
    <col min="14083" max="14083" width="8.7109375" style="4"/>
    <col min="14084" max="14084" width="3" style="4" customWidth="1"/>
    <col min="14085" max="14085" width="18.42578125" style="4" customWidth="1"/>
    <col min="14086" max="14086" width="0" style="4" hidden="1" customWidth="1"/>
    <col min="14087" max="14087" width="3" style="4" customWidth="1"/>
    <col min="14088" max="14088" width="10.7109375" style="4" customWidth="1"/>
    <col min="14089" max="14089" width="2.7109375" style="4" customWidth="1"/>
    <col min="14090" max="14090" width="6.7109375" style="4" customWidth="1"/>
    <col min="14091" max="14091" width="3" style="4" customWidth="1"/>
    <col min="14092" max="14092" width="17.7109375" style="4" customWidth="1"/>
    <col min="14093" max="14093" width="10.5703125" style="4" customWidth="1"/>
    <col min="14094" max="14094" width="17.28515625" style="4" bestFit="1" customWidth="1"/>
    <col min="14095" max="14109" width="11.7109375" style="4" customWidth="1"/>
    <col min="14110" max="14336" width="8.7109375" style="4"/>
    <col min="14337" max="14337" width="34.5703125" style="4" customWidth="1"/>
    <col min="14338" max="14338" width="9.85546875" style="4" customWidth="1"/>
    <col min="14339" max="14339" width="8.7109375" style="4"/>
    <col min="14340" max="14340" width="3" style="4" customWidth="1"/>
    <col min="14341" max="14341" width="18.42578125" style="4" customWidth="1"/>
    <col min="14342" max="14342" width="0" style="4" hidden="1" customWidth="1"/>
    <col min="14343" max="14343" width="3" style="4" customWidth="1"/>
    <col min="14344" max="14344" width="10.7109375" style="4" customWidth="1"/>
    <col min="14345" max="14345" width="2.7109375" style="4" customWidth="1"/>
    <col min="14346" max="14346" width="6.7109375" style="4" customWidth="1"/>
    <col min="14347" max="14347" width="3" style="4" customWidth="1"/>
    <col min="14348" max="14348" width="17.7109375" style="4" customWidth="1"/>
    <col min="14349" max="14349" width="10.5703125" style="4" customWidth="1"/>
    <col min="14350" max="14350" width="17.28515625" style="4" bestFit="1" customWidth="1"/>
    <col min="14351" max="14365" width="11.7109375" style="4" customWidth="1"/>
    <col min="14366" max="14592" width="8.7109375" style="4"/>
    <col min="14593" max="14593" width="34.5703125" style="4" customWidth="1"/>
    <col min="14594" max="14594" width="9.85546875" style="4" customWidth="1"/>
    <col min="14595" max="14595" width="8.7109375" style="4"/>
    <col min="14596" max="14596" width="3" style="4" customWidth="1"/>
    <col min="14597" max="14597" width="18.42578125" style="4" customWidth="1"/>
    <col min="14598" max="14598" width="0" style="4" hidden="1" customWidth="1"/>
    <col min="14599" max="14599" width="3" style="4" customWidth="1"/>
    <col min="14600" max="14600" width="10.7109375" style="4" customWidth="1"/>
    <col min="14601" max="14601" width="2.7109375" style="4" customWidth="1"/>
    <col min="14602" max="14602" width="6.7109375" style="4" customWidth="1"/>
    <col min="14603" max="14603" width="3" style="4" customWidth="1"/>
    <col min="14604" max="14604" width="17.7109375" style="4" customWidth="1"/>
    <col min="14605" max="14605" width="10.5703125" style="4" customWidth="1"/>
    <col min="14606" max="14606" width="17.28515625" style="4" bestFit="1" customWidth="1"/>
    <col min="14607" max="14621" width="11.7109375" style="4" customWidth="1"/>
    <col min="14622" max="14848" width="8.7109375" style="4"/>
    <col min="14849" max="14849" width="34.5703125" style="4" customWidth="1"/>
    <col min="14850" max="14850" width="9.85546875" style="4" customWidth="1"/>
    <col min="14851" max="14851" width="8.7109375" style="4"/>
    <col min="14852" max="14852" width="3" style="4" customWidth="1"/>
    <col min="14853" max="14853" width="18.42578125" style="4" customWidth="1"/>
    <col min="14854" max="14854" width="0" style="4" hidden="1" customWidth="1"/>
    <col min="14855" max="14855" width="3" style="4" customWidth="1"/>
    <col min="14856" max="14856" width="10.7109375" style="4" customWidth="1"/>
    <col min="14857" max="14857" width="2.7109375" style="4" customWidth="1"/>
    <col min="14858" max="14858" width="6.7109375" style="4" customWidth="1"/>
    <col min="14859" max="14859" width="3" style="4" customWidth="1"/>
    <col min="14860" max="14860" width="17.7109375" style="4" customWidth="1"/>
    <col min="14861" max="14861" width="10.5703125" style="4" customWidth="1"/>
    <col min="14862" max="14862" width="17.28515625" style="4" bestFit="1" customWidth="1"/>
    <col min="14863" max="14877" width="11.7109375" style="4" customWidth="1"/>
    <col min="14878" max="15104" width="8.7109375" style="4"/>
    <col min="15105" max="15105" width="34.5703125" style="4" customWidth="1"/>
    <col min="15106" max="15106" width="9.85546875" style="4" customWidth="1"/>
    <col min="15107" max="15107" width="8.7109375" style="4"/>
    <col min="15108" max="15108" width="3" style="4" customWidth="1"/>
    <col min="15109" max="15109" width="18.42578125" style="4" customWidth="1"/>
    <col min="15110" max="15110" width="0" style="4" hidden="1" customWidth="1"/>
    <col min="15111" max="15111" width="3" style="4" customWidth="1"/>
    <col min="15112" max="15112" width="10.7109375" style="4" customWidth="1"/>
    <col min="15113" max="15113" width="2.7109375" style="4" customWidth="1"/>
    <col min="15114" max="15114" width="6.7109375" style="4" customWidth="1"/>
    <col min="15115" max="15115" width="3" style="4" customWidth="1"/>
    <col min="15116" max="15116" width="17.7109375" style="4" customWidth="1"/>
    <col min="15117" max="15117" width="10.5703125" style="4" customWidth="1"/>
    <col min="15118" max="15118" width="17.28515625" style="4" bestFit="1" customWidth="1"/>
    <col min="15119" max="15133" width="11.7109375" style="4" customWidth="1"/>
    <col min="15134" max="15360" width="8.7109375" style="4"/>
    <col min="15361" max="15361" width="34.5703125" style="4" customWidth="1"/>
    <col min="15362" max="15362" width="9.85546875" style="4" customWidth="1"/>
    <col min="15363" max="15363" width="8.7109375" style="4"/>
    <col min="15364" max="15364" width="3" style="4" customWidth="1"/>
    <col min="15365" max="15365" width="18.42578125" style="4" customWidth="1"/>
    <col min="15366" max="15366" width="0" style="4" hidden="1" customWidth="1"/>
    <col min="15367" max="15367" width="3" style="4" customWidth="1"/>
    <col min="15368" max="15368" width="10.7109375" style="4" customWidth="1"/>
    <col min="15369" max="15369" width="2.7109375" style="4" customWidth="1"/>
    <col min="15370" max="15370" width="6.7109375" style="4" customWidth="1"/>
    <col min="15371" max="15371" width="3" style="4" customWidth="1"/>
    <col min="15372" max="15372" width="17.7109375" style="4" customWidth="1"/>
    <col min="15373" max="15373" width="10.5703125" style="4" customWidth="1"/>
    <col min="15374" max="15374" width="17.28515625" style="4" bestFit="1" customWidth="1"/>
    <col min="15375" max="15389" width="11.7109375" style="4" customWidth="1"/>
    <col min="15390" max="15616" width="8.7109375" style="4"/>
    <col min="15617" max="15617" width="34.5703125" style="4" customWidth="1"/>
    <col min="15618" max="15618" width="9.85546875" style="4" customWidth="1"/>
    <col min="15619" max="15619" width="8.7109375" style="4"/>
    <col min="15620" max="15620" width="3" style="4" customWidth="1"/>
    <col min="15621" max="15621" width="18.42578125" style="4" customWidth="1"/>
    <col min="15622" max="15622" width="0" style="4" hidden="1" customWidth="1"/>
    <col min="15623" max="15623" width="3" style="4" customWidth="1"/>
    <col min="15624" max="15624" width="10.7109375" style="4" customWidth="1"/>
    <col min="15625" max="15625" width="2.7109375" style="4" customWidth="1"/>
    <col min="15626" max="15626" width="6.7109375" style="4" customWidth="1"/>
    <col min="15627" max="15627" width="3" style="4" customWidth="1"/>
    <col min="15628" max="15628" width="17.7109375" style="4" customWidth="1"/>
    <col min="15629" max="15629" width="10.5703125" style="4" customWidth="1"/>
    <col min="15630" max="15630" width="17.28515625" style="4" bestFit="1" customWidth="1"/>
    <col min="15631" max="15645" width="11.7109375" style="4" customWidth="1"/>
    <col min="15646" max="15872" width="8.7109375" style="4"/>
    <col min="15873" max="15873" width="34.5703125" style="4" customWidth="1"/>
    <col min="15874" max="15874" width="9.85546875" style="4" customWidth="1"/>
    <col min="15875" max="15875" width="8.7109375" style="4"/>
    <col min="15876" max="15876" width="3" style="4" customWidth="1"/>
    <col min="15877" max="15877" width="18.42578125" style="4" customWidth="1"/>
    <col min="15878" max="15878" width="0" style="4" hidden="1" customWidth="1"/>
    <col min="15879" max="15879" width="3" style="4" customWidth="1"/>
    <col min="15880" max="15880" width="10.7109375" style="4" customWidth="1"/>
    <col min="15881" max="15881" width="2.7109375" style="4" customWidth="1"/>
    <col min="15882" max="15882" width="6.7109375" style="4" customWidth="1"/>
    <col min="15883" max="15883" width="3" style="4" customWidth="1"/>
    <col min="15884" max="15884" width="17.7109375" style="4" customWidth="1"/>
    <col min="15885" max="15885" width="10.5703125" style="4" customWidth="1"/>
    <col min="15886" max="15886" width="17.28515625" style="4" bestFit="1" customWidth="1"/>
    <col min="15887" max="15901" width="11.7109375" style="4" customWidth="1"/>
    <col min="15902" max="16128" width="8.7109375" style="4"/>
    <col min="16129" max="16129" width="34.5703125" style="4" customWidth="1"/>
    <col min="16130" max="16130" width="9.85546875" style="4" customWidth="1"/>
    <col min="16131" max="16131" width="8.7109375" style="4"/>
    <col min="16132" max="16132" width="3" style="4" customWidth="1"/>
    <col min="16133" max="16133" width="18.42578125" style="4" customWidth="1"/>
    <col min="16134" max="16134" width="0" style="4" hidden="1" customWidth="1"/>
    <col min="16135" max="16135" width="3" style="4" customWidth="1"/>
    <col min="16136" max="16136" width="10.7109375" style="4" customWidth="1"/>
    <col min="16137" max="16137" width="2.7109375" style="4" customWidth="1"/>
    <col min="16138" max="16138" width="6.7109375" style="4" customWidth="1"/>
    <col min="16139" max="16139" width="3" style="4" customWidth="1"/>
    <col min="16140" max="16140" width="17.7109375" style="4" customWidth="1"/>
    <col min="16141" max="16141" width="10.5703125" style="4" customWidth="1"/>
    <col min="16142" max="16142" width="17.28515625" style="4" bestFit="1" customWidth="1"/>
    <col min="16143" max="16157" width="11.7109375" style="4" customWidth="1"/>
    <col min="16158" max="16384" width="8.7109375" style="4"/>
  </cols>
  <sheetData>
    <row r="1" spans="1:26" ht="45" x14ac:dyDescent="0.6">
      <c r="A1" s="19" t="s">
        <v>273</v>
      </c>
      <c r="L1" s="32"/>
      <c r="N1" s="32"/>
      <c r="P1" s="20"/>
    </row>
    <row r="2" spans="1:26" ht="18" customHeight="1" x14ac:dyDescent="0.6">
      <c r="A2" s="19"/>
      <c r="P2" s="20"/>
    </row>
    <row r="3" spans="1:26" ht="20.100000000000001" customHeight="1" x14ac:dyDescent="0.4">
      <c r="A3" s="21" t="str">
        <f>"Exploitatieberekening "&amp;B10&amp;" jaar voor de productie-installatie van deze aanvraag"</f>
        <v>Exploitatieberekening 15 jaar voor de productie-installatie van deze aanvraag</v>
      </c>
      <c r="N3" s="32"/>
      <c r="O3" s="21"/>
      <c r="P3" s="22"/>
    </row>
    <row r="4" spans="1:26" ht="20.100000000000001" customHeight="1" x14ac:dyDescent="0.3">
      <c r="A4" s="22"/>
      <c r="P4" s="22"/>
    </row>
    <row r="5" spans="1:26" ht="18" x14ac:dyDescent="0.25">
      <c r="A5" s="21" t="s">
        <v>15</v>
      </c>
      <c r="M5" s="275"/>
    </row>
    <row r="6" spans="1:26" x14ac:dyDescent="0.25">
      <c r="A6" s="7" t="s">
        <v>27</v>
      </c>
      <c r="B6" s="510" t="str">
        <f>IF(Financieringsplan!B7="","",Financieringsplan!B7)</f>
        <v/>
      </c>
      <c r="C6" s="511"/>
      <c r="D6" s="511"/>
      <c r="E6" s="511"/>
      <c r="F6" s="511"/>
      <c r="G6" s="511"/>
      <c r="H6" s="511"/>
      <c r="I6" s="511"/>
      <c r="J6" s="511"/>
      <c r="K6" s="511"/>
      <c r="L6" s="512"/>
    </row>
    <row r="7" spans="1:26" x14ac:dyDescent="0.25">
      <c r="A7" s="7" t="s">
        <v>28</v>
      </c>
      <c r="B7" s="513" t="str">
        <f>IF(Productie_en_afzet!B6="","",Productie_en_afzet!B6)</f>
        <v/>
      </c>
      <c r="C7" s="514"/>
      <c r="D7" s="514"/>
      <c r="E7" s="514"/>
      <c r="F7" s="514"/>
      <c r="G7" s="514"/>
      <c r="H7" s="514"/>
      <c r="I7" s="514"/>
      <c r="J7" s="514"/>
      <c r="K7" s="514"/>
      <c r="L7" s="515"/>
    </row>
    <row r="8" spans="1:26" ht="25.5" customHeight="1" x14ac:dyDescent="0.25">
      <c r="A8" s="297" t="s">
        <v>309</v>
      </c>
      <c r="B8" s="516" t="str">
        <f>Productie_en_afzet!B8</f>
        <v>Elektrolyser met aansluiting gekoppeld aan het elektriciteitsnet</v>
      </c>
      <c r="C8" s="517"/>
      <c r="D8" s="517"/>
      <c r="E8" s="517"/>
      <c r="F8" s="517"/>
      <c r="G8" s="517"/>
      <c r="H8" s="517"/>
      <c r="I8" s="517"/>
      <c r="J8" s="517"/>
      <c r="K8" s="517"/>
      <c r="L8" s="518"/>
      <c r="O8" s="7"/>
      <c r="Q8" s="7"/>
    </row>
    <row r="9" spans="1:26" x14ac:dyDescent="0.25">
      <c r="A9" s="7" t="s">
        <v>295</v>
      </c>
      <c r="B9" s="519">
        <f>'Proj.gegevens_invest.begroting'!D10</f>
        <v>0</v>
      </c>
      <c r="C9" s="520"/>
      <c r="D9" s="520"/>
      <c r="E9" s="7"/>
      <c r="F9" s="7"/>
      <c r="G9" s="7"/>
      <c r="H9" s="7"/>
      <c r="I9" s="7"/>
      <c r="J9" s="7"/>
      <c r="K9" s="7"/>
      <c r="L9" s="332"/>
      <c r="O9" s="7"/>
      <c r="Q9" s="7"/>
    </row>
    <row r="10" spans="1:26" x14ac:dyDescent="0.25">
      <c r="A10" s="7" t="s">
        <v>32</v>
      </c>
      <c r="B10" s="335">
        <f>'Proj.gegevens_invest.begroting'!D34</f>
        <v>15</v>
      </c>
      <c r="C10" s="4"/>
      <c r="E10" s="259"/>
      <c r="F10" s="259"/>
      <c r="G10" s="259"/>
      <c r="H10" s="258"/>
      <c r="I10" s="521"/>
      <c r="J10" s="521"/>
      <c r="K10" s="521"/>
      <c r="L10" s="336"/>
    </row>
    <row r="11" spans="1:26" x14ac:dyDescent="0.25">
      <c r="A11" s="7" t="s">
        <v>329</v>
      </c>
      <c r="B11" s="298">
        <f>'Proj.gegevens_invest.begroting'!D35</f>
        <v>15</v>
      </c>
      <c r="C11" s="331"/>
      <c r="D11" s="331"/>
      <c r="E11" s="299"/>
      <c r="F11" s="299"/>
      <c r="G11" s="299"/>
      <c r="H11" s="300"/>
      <c r="I11" s="333"/>
      <c r="J11" s="333"/>
      <c r="K11" s="333"/>
      <c r="L11" s="301"/>
    </row>
    <row r="12" spans="1:26" ht="18.75" customHeight="1" x14ac:dyDescent="0.25">
      <c r="A12" s="23"/>
      <c r="C12" s="263"/>
      <c r="D12" s="257"/>
      <c r="E12" s="257"/>
      <c r="F12" s="257"/>
      <c r="G12" s="257"/>
      <c r="H12" s="257"/>
      <c r="I12" s="257"/>
      <c r="J12" s="257"/>
      <c r="K12" s="25"/>
      <c r="L12" s="25"/>
    </row>
    <row r="13" spans="1:26" ht="18" x14ac:dyDescent="0.25">
      <c r="A13" s="21" t="s">
        <v>33</v>
      </c>
    </row>
    <row r="14" spans="1:26" ht="12.75" customHeight="1" x14ac:dyDescent="0.25">
      <c r="A14" s="7" t="s">
        <v>34</v>
      </c>
    </row>
    <row r="15" spans="1:26" ht="12.75" customHeight="1" x14ac:dyDescent="0.25">
      <c r="B15" s="510" t="str">
        <f>'Proj.gegevens_invest.begroting'!B46</f>
        <v>A1. Gronden en gebouwen</v>
      </c>
      <c r="C15" s="511"/>
      <c r="D15" s="511"/>
      <c r="E15" s="511"/>
      <c r="F15" s="511"/>
      <c r="G15" s="511"/>
      <c r="H15" s="511"/>
      <c r="I15" s="511"/>
      <c r="J15" s="511"/>
      <c r="K15" s="511"/>
      <c r="L15" s="512"/>
      <c r="N15" s="264">
        <f>'Proj.gegevens_invest.begroting'!G58</f>
        <v>0</v>
      </c>
      <c r="O15" s="262"/>
      <c r="P15" s="25"/>
      <c r="Q15" s="25"/>
      <c r="R15" s="25"/>
      <c r="S15" s="25"/>
      <c r="T15" s="25"/>
      <c r="U15" s="25"/>
      <c r="V15" s="25"/>
      <c r="W15" s="25"/>
      <c r="X15" s="25"/>
      <c r="Y15" s="25"/>
      <c r="Z15" s="25"/>
    </row>
    <row r="16" spans="1:26" ht="12.75" customHeight="1" x14ac:dyDescent="0.25">
      <c r="B16" s="513" t="str">
        <f>'Proj.gegevens_invest.begroting'!B60</f>
        <v>A2. Machines en apparatuur</v>
      </c>
      <c r="C16" s="514"/>
      <c r="D16" s="514"/>
      <c r="E16" s="514"/>
      <c r="F16" s="514"/>
      <c r="G16" s="514"/>
      <c r="H16" s="514"/>
      <c r="I16" s="514"/>
      <c r="J16" s="514"/>
      <c r="K16" s="514"/>
      <c r="L16" s="515"/>
      <c r="N16" s="302">
        <f>'Proj.gegevens_invest.begroting'!G79</f>
        <v>0</v>
      </c>
      <c r="O16" s="25"/>
      <c r="P16" s="25"/>
      <c r="Q16" s="25"/>
      <c r="R16" s="25"/>
      <c r="S16" s="25"/>
      <c r="T16" s="25"/>
      <c r="U16" s="25"/>
      <c r="V16" s="25"/>
      <c r="W16" s="25"/>
      <c r="X16" s="25"/>
      <c r="Y16" s="25"/>
      <c r="Z16" s="25"/>
    </row>
    <row r="17" spans="1:27" ht="12.75" customHeight="1" x14ac:dyDescent="0.25">
      <c r="B17" s="513" t="str">
        <f>'Proj.gegevens_invest.begroting'!B81</f>
        <v>A3. Materialen en hulpmiddelen</v>
      </c>
      <c r="C17" s="514"/>
      <c r="D17" s="514"/>
      <c r="E17" s="514"/>
      <c r="F17" s="514"/>
      <c r="G17" s="514"/>
      <c r="H17" s="514"/>
      <c r="I17" s="514"/>
      <c r="J17" s="514"/>
      <c r="K17" s="514"/>
      <c r="L17" s="515"/>
      <c r="N17" s="302">
        <f>'Proj.gegevens_invest.begroting'!G95</f>
        <v>0</v>
      </c>
      <c r="O17" s="25"/>
      <c r="P17" s="25"/>
      <c r="Q17" s="25"/>
      <c r="R17" s="25"/>
      <c r="S17" s="25"/>
      <c r="T17" s="25"/>
      <c r="U17" s="25"/>
      <c r="V17" s="25"/>
      <c r="W17" s="25"/>
      <c r="X17" s="25"/>
      <c r="Y17" s="25"/>
      <c r="Z17" s="25"/>
    </row>
    <row r="18" spans="1:27" ht="12.75" customHeight="1" x14ac:dyDescent="0.25">
      <c r="B18" s="513" t="str">
        <f>'Proj.gegevens_invest.begroting'!B97</f>
        <v>A4. Immateriële activa</v>
      </c>
      <c r="C18" s="514"/>
      <c r="D18" s="514"/>
      <c r="E18" s="514"/>
      <c r="F18" s="514"/>
      <c r="G18" s="514"/>
      <c r="H18" s="514"/>
      <c r="I18" s="514"/>
      <c r="J18" s="514"/>
      <c r="K18" s="514"/>
      <c r="L18" s="515"/>
      <c r="N18" s="302">
        <f>'Proj.gegevens_invest.begroting'!G108</f>
        <v>0</v>
      </c>
      <c r="O18" s="25"/>
      <c r="P18" s="25"/>
      <c r="Q18" s="10"/>
      <c r="R18" s="25"/>
      <c r="S18" s="25"/>
      <c r="T18" s="25"/>
      <c r="U18" s="25"/>
      <c r="V18" s="25"/>
      <c r="W18" s="25"/>
      <c r="X18" s="25"/>
      <c r="Y18" s="25"/>
      <c r="Z18" s="25"/>
    </row>
    <row r="19" spans="1:27" ht="12.75" customHeight="1" x14ac:dyDescent="0.25">
      <c r="B19" s="513" t="str">
        <f>'Proj.gegevens_invest.begroting'!B110</f>
        <v>A5. De aanleg van infrastructuur voor aansluiting van de waterstofproductie-installatie</v>
      </c>
      <c r="C19" s="514"/>
      <c r="D19" s="514"/>
      <c r="E19" s="514"/>
      <c r="F19" s="514"/>
      <c r="G19" s="514"/>
      <c r="H19" s="514"/>
      <c r="I19" s="514"/>
      <c r="J19" s="514"/>
      <c r="K19" s="514"/>
      <c r="L19" s="515"/>
      <c r="N19" s="302">
        <f>'Proj.gegevens_invest.begroting'!G123</f>
        <v>0</v>
      </c>
      <c r="O19" s="262"/>
      <c r="P19" s="25"/>
      <c r="Q19" s="25"/>
      <c r="R19" s="25"/>
      <c r="S19" s="25"/>
      <c r="T19" s="25"/>
      <c r="U19" s="25"/>
      <c r="V19" s="25"/>
      <c r="W19" s="25"/>
      <c r="X19" s="25"/>
      <c r="Y19" s="25"/>
      <c r="Z19" s="25"/>
    </row>
    <row r="20" spans="1:27" ht="12.75" customHeight="1" x14ac:dyDescent="0.25">
      <c r="B20" s="506" t="str">
        <f>'Proj.gegevens_invest.begroting'!B125</f>
        <v>A6. Overige kosten</v>
      </c>
      <c r="C20" s="507"/>
      <c r="D20" s="507"/>
      <c r="E20" s="507"/>
      <c r="F20" s="507"/>
      <c r="G20" s="507"/>
      <c r="H20" s="507"/>
      <c r="I20" s="507"/>
      <c r="J20" s="507"/>
      <c r="K20" s="507"/>
      <c r="L20" s="508"/>
      <c r="N20" s="265">
        <f>'Proj.gegevens_invest.begroting'!G133</f>
        <v>0</v>
      </c>
      <c r="O20" s="25"/>
      <c r="P20" s="25"/>
      <c r="Q20" s="25"/>
      <c r="R20" s="25"/>
      <c r="S20" s="25"/>
      <c r="T20" s="25"/>
      <c r="U20" s="25"/>
      <c r="V20" s="25"/>
      <c r="W20" s="25"/>
      <c r="X20" s="25"/>
      <c r="Y20" s="25"/>
      <c r="Z20" s="25"/>
    </row>
    <row r="21" spans="1:27" ht="12.75" customHeight="1" x14ac:dyDescent="0.25">
      <c r="A21" s="7" t="s">
        <v>378</v>
      </c>
      <c r="B21" s="7"/>
      <c r="C21" s="7"/>
      <c r="D21" s="7"/>
      <c r="E21" s="7"/>
      <c r="F21" s="7"/>
      <c r="G21" s="7"/>
      <c r="H21" s="7"/>
      <c r="I21" s="7"/>
      <c r="J21" s="7"/>
      <c r="K21" s="7"/>
      <c r="L21" s="7"/>
      <c r="N21" s="269">
        <f>SUM(N15:N20)</f>
        <v>0</v>
      </c>
      <c r="O21" s="25"/>
      <c r="P21" s="25"/>
      <c r="Q21" s="25"/>
      <c r="R21" s="25"/>
      <c r="S21" s="25"/>
      <c r="T21" s="25"/>
      <c r="U21" s="25"/>
      <c r="V21" s="25"/>
      <c r="W21" s="25"/>
      <c r="X21" s="25"/>
      <c r="Y21" s="25"/>
      <c r="Z21" s="25"/>
    </row>
    <row r="22" spans="1:27" ht="12.75" customHeight="1" x14ac:dyDescent="0.25">
      <c r="A22" s="7" t="s">
        <v>376</v>
      </c>
      <c r="B22" s="7"/>
      <c r="C22" s="7"/>
      <c r="D22" s="7"/>
      <c r="E22" s="7"/>
      <c r="F22" s="7"/>
      <c r="G22" s="7"/>
      <c r="H22" s="7"/>
      <c r="I22" s="7"/>
      <c r="J22" s="7"/>
      <c r="K22" s="7"/>
      <c r="L22" s="7"/>
      <c r="N22" s="269">
        <f>'Proj.gegevens_invest.begroting'!G163</f>
        <v>0</v>
      </c>
      <c r="O22" s="25"/>
      <c r="P22" s="25"/>
      <c r="Q22" s="25"/>
      <c r="R22" s="25"/>
      <c r="S22" s="25"/>
      <c r="T22" s="25"/>
      <c r="U22" s="25"/>
      <c r="V22" s="25"/>
      <c r="W22" s="25"/>
      <c r="X22" s="25"/>
      <c r="Y22" s="25"/>
      <c r="Z22" s="25"/>
    </row>
    <row r="23" spans="1:27" s="23" customFormat="1" ht="12.75" customHeight="1" x14ac:dyDescent="0.2">
      <c r="A23" s="23" t="s">
        <v>379</v>
      </c>
      <c r="N23" s="27">
        <f>N21-N22</f>
        <v>0</v>
      </c>
      <c r="O23" s="28"/>
      <c r="P23" s="28"/>
      <c r="Q23" s="28"/>
      <c r="R23" s="28"/>
      <c r="S23" s="28"/>
      <c r="T23" s="28"/>
      <c r="U23" s="28"/>
      <c r="V23" s="28"/>
      <c r="W23" s="28"/>
      <c r="X23" s="28"/>
      <c r="Y23" s="28"/>
      <c r="Z23" s="28"/>
      <c r="AA23" s="28"/>
    </row>
    <row r="24" spans="1:27" s="23" customFormat="1" ht="12.75" customHeight="1" x14ac:dyDescent="0.2">
      <c r="N24" s="27"/>
      <c r="O24" s="28"/>
      <c r="P24" s="28"/>
      <c r="Q24" s="28"/>
      <c r="R24" s="28"/>
      <c r="S24" s="28"/>
      <c r="T24" s="28"/>
      <c r="U24" s="28"/>
      <c r="V24" s="28"/>
      <c r="W24" s="28"/>
      <c r="X24" s="28"/>
      <c r="Y24" s="28"/>
      <c r="Z24" s="28"/>
      <c r="AA24" s="28"/>
    </row>
    <row r="25" spans="1:27" s="23" customFormat="1" ht="12.75" customHeight="1" x14ac:dyDescent="0.2">
      <c r="N25" s="27"/>
      <c r="O25" s="28"/>
      <c r="P25" s="28"/>
      <c r="Q25" s="28"/>
      <c r="R25" s="28"/>
      <c r="S25" s="28"/>
      <c r="T25" s="28"/>
      <c r="U25" s="28"/>
      <c r="V25" s="28"/>
      <c r="W25" s="28"/>
      <c r="X25" s="28"/>
      <c r="Y25" s="28"/>
      <c r="Z25" s="28"/>
      <c r="AA25" s="28"/>
    </row>
    <row r="26" spans="1:27" s="23" customFormat="1" ht="12.75" customHeight="1" x14ac:dyDescent="0.2">
      <c r="N26" s="27"/>
      <c r="O26" s="28"/>
      <c r="P26" s="28"/>
      <c r="Q26" s="28"/>
      <c r="R26" s="28"/>
      <c r="S26" s="28"/>
      <c r="T26" s="28"/>
      <c r="U26" s="28"/>
      <c r="V26" s="28"/>
      <c r="W26" s="28"/>
      <c r="X26" s="28"/>
      <c r="Y26" s="28"/>
      <c r="Z26" s="28"/>
      <c r="AA26" s="28"/>
    </row>
    <row r="27" spans="1:27" s="23" customFormat="1" ht="18" x14ac:dyDescent="0.25">
      <c r="A27" s="21" t="s">
        <v>35</v>
      </c>
      <c r="D27" s="4"/>
      <c r="E27" s="4"/>
      <c r="F27" s="4"/>
      <c r="G27" s="4"/>
      <c r="H27" s="4"/>
      <c r="I27" s="4"/>
      <c r="J27" s="4"/>
      <c r="K27" s="4"/>
      <c r="L27" s="4"/>
      <c r="N27" s="27"/>
      <c r="O27" s="28"/>
      <c r="P27" s="28"/>
      <c r="Q27" s="28"/>
      <c r="R27" s="28"/>
      <c r="S27" s="28"/>
      <c r="T27" s="28"/>
      <c r="U27" s="28"/>
      <c r="V27" s="28"/>
      <c r="W27" s="28"/>
      <c r="X27" s="28"/>
      <c r="Y27" s="28"/>
      <c r="Z27" s="28"/>
      <c r="AA27" s="28"/>
    </row>
    <row r="28" spans="1:27" s="23" customFormat="1" ht="12.75" customHeight="1" x14ac:dyDescent="0.25">
      <c r="B28" s="507" t="s">
        <v>36</v>
      </c>
      <c r="C28" s="507"/>
      <c r="D28" s="4"/>
      <c r="E28" s="7" t="s">
        <v>37</v>
      </c>
      <c r="F28" s="4"/>
      <c r="G28" s="4"/>
      <c r="H28" s="507" t="s">
        <v>38</v>
      </c>
      <c r="I28" s="509"/>
      <c r="J28" s="509"/>
      <c r="K28" s="4"/>
      <c r="L28" s="7" t="s">
        <v>39</v>
      </c>
      <c r="N28" s="27"/>
      <c r="O28" s="28"/>
      <c r="P28" s="28"/>
      <c r="Q28" s="28"/>
      <c r="R28" s="28"/>
      <c r="S28" s="28"/>
      <c r="T28" s="28"/>
      <c r="U28" s="28"/>
      <c r="V28" s="28"/>
      <c r="W28" s="28"/>
      <c r="X28" s="28"/>
      <c r="Y28" s="28"/>
      <c r="Z28" s="28"/>
      <c r="AA28" s="28"/>
    </row>
    <row r="29" spans="1:27" s="23" customFormat="1" ht="12.75" customHeight="1" x14ac:dyDescent="0.25">
      <c r="A29" s="504" t="s">
        <v>390</v>
      </c>
      <c r="B29" s="522" t="e">
        <f>IF(Hulpblad_overig!B8=2,Financieringsplan!E13,Financieringsplan!G74)</f>
        <v>#DIV/0!</v>
      </c>
      <c r="C29" s="523"/>
      <c r="E29" s="273" t="e">
        <f>N23*B29</f>
        <v>#DIV/0!</v>
      </c>
      <c r="F29" s="4"/>
      <c r="G29" s="4"/>
      <c r="H29" s="522" t="e">
        <f>IF(Hulpblad_overig!B8=2,Financieringsplan!G44/(Financieringsplan!G43+Financieringsplan!G44),Financieringsplan!G92)</f>
        <v>#DIV/0!</v>
      </c>
      <c r="I29" s="524"/>
      <c r="J29" s="523"/>
      <c r="L29" s="273" t="e">
        <f>N23*H29</f>
        <v>#DIV/0!</v>
      </c>
      <c r="N29" s="27"/>
      <c r="O29" s="28"/>
      <c r="P29" s="28"/>
      <c r="Q29" s="28"/>
      <c r="R29" s="28"/>
      <c r="S29" s="28"/>
      <c r="T29" s="28"/>
      <c r="U29" s="28"/>
      <c r="V29" s="28"/>
      <c r="W29" s="28"/>
      <c r="X29" s="28"/>
      <c r="Y29" s="28"/>
      <c r="Z29" s="28"/>
      <c r="AA29" s="28"/>
    </row>
    <row r="30" spans="1:27" s="23" customFormat="1" ht="12.75" customHeight="1" x14ac:dyDescent="0.25">
      <c r="A30" s="505"/>
      <c r="D30" s="4"/>
      <c r="F30" s="4"/>
      <c r="G30" s="4"/>
      <c r="H30" s="4"/>
      <c r="I30" s="4"/>
      <c r="J30" s="4"/>
      <c r="K30" s="4"/>
      <c r="N30" s="27"/>
      <c r="O30" s="28"/>
      <c r="P30" s="28"/>
      <c r="Q30" s="28"/>
      <c r="R30" s="28"/>
      <c r="S30" s="28"/>
      <c r="T30" s="28"/>
      <c r="U30" s="28"/>
      <c r="V30" s="28"/>
      <c r="W30" s="28"/>
      <c r="X30" s="28"/>
      <c r="Y30" s="28"/>
      <c r="Z30" s="28"/>
      <c r="AA30" s="28"/>
    </row>
    <row r="31" spans="1:27" s="23" customFormat="1" ht="12.75" customHeight="1" x14ac:dyDescent="0.25">
      <c r="A31" s="7" t="s">
        <v>40</v>
      </c>
      <c r="B31" s="525" t="s">
        <v>41</v>
      </c>
      <c r="C31" s="525"/>
      <c r="D31" s="4"/>
      <c r="E31" s="7" t="s">
        <v>42</v>
      </c>
      <c r="F31" s="4"/>
      <c r="G31" s="4"/>
      <c r="H31" s="514" t="s">
        <v>43</v>
      </c>
      <c r="I31" s="467"/>
      <c r="J31" s="467"/>
      <c r="K31" s="4"/>
      <c r="L31" s="7" t="s">
        <v>44</v>
      </c>
      <c r="N31" s="27"/>
      <c r="O31" s="28"/>
      <c r="P31" s="28"/>
      <c r="Q31" s="28"/>
      <c r="R31" s="28"/>
      <c r="S31" s="28"/>
      <c r="T31" s="28"/>
      <c r="U31" s="28"/>
      <c r="V31" s="28"/>
      <c r="W31" s="28"/>
      <c r="X31" s="28"/>
      <c r="Y31" s="28"/>
      <c r="Z31" s="28"/>
      <c r="AA31" s="28"/>
    </row>
    <row r="32" spans="1:27" s="23" customFormat="1" ht="12.75" customHeight="1" x14ac:dyDescent="0.25">
      <c r="A32" s="7" t="str">
        <f>"Gegevens lening (maximaal "&amp;B11&amp;" jaar)"</f>
        <v>Gegevens lening (maximaal 15 jaar)</v>
      </c>
      <c r="B32" s="526" t="e">
        <f>L29</f>
        <v>#DIV/0!</v>
      </c>
      <c r="C32" s="527"/>
      <c r="D32" s="4"/>
      <c r="E32" s="89">
        <v>15</v>
      </c>
      <c r="F32" s="4"/>
      <c r="G32" s="4"/>
      <c r="H32" s="528"/>
      <c r="I32" s="467"/>
      <c r="J32" s="467"/>
      <c r="K32" s="4"/>
      <c r="L32" s="83">
        <v>0.06</v>
      </c>
      <c r="N32" s="27"/>
      <c r="O32" s="28"/>
      <c r="P32" s="28"/>
      <c r="Q32" s="28"/>
      <c r="R32" s="28"/>
      <c r="S32" s="28"/>
      <c r="T32" s="28"/>
      <c r="U32" s="28"/>
      <c r="V32" s="28"/>
      <c r="W32" s="28"/>
      <c r="X32" s="28"/>
      <c r="Y32" s="28"/>
      <c r="Z32" s="28"/>
      <c r="AA32" s="28"/>
    </row>
    <row r="33" spans="1:29" s="23" customFormat="1" ht="12.75" customHeight="1" x14ac:dyDescent="0.25">
      <c r="A33" s="26"/>
      <c r="D33" s="4"/>
      <c r="E33" s="4"/>
      <c r="F33" s="4"/>
      <c r="G33" s="4"/>
      <c r="H33" s="26"/>
      <c r="I33" s="4"/>
      <c r="J33" s="4"/>
      <c r="K33" s="4"/>
      <c r="N33" s="27"/>
      <c r="O33" s="28"/>
      <c r="P33" s="28"/>
      <c r="Q33" s="28"/>
      <c r="R33" s="28"/>
      <c r="S33" s="28"/>
      <c r="T33" s="28"/>
      <c r="U33" s="28"/>
      <c r="V33" s="28"/>
      <c r="W33" s="28"/>
      <c r="X33" s="28"/>
      <c r="Y33" s="28"/>
      <c r="Z33" s="28"/>
      <c r="AA33" s="28"/>
    </row>
    <row r="34" spans="1:29" ht="12.75" customHeight="1" x14ac:dyDescent="0.25">
      <c r="A34" s="23" t="s">
        <v>45</v>
      </c>
      <c r="D34" s="23"/>
      <c r="E34" s="23"/>
      <c r="F34" s="23"/>
      <c r="G34" s="23"/>
      <c r="H34" s="23"/>
      <c r="I34" s="23"/>
      <c r="J34" s="23"/>
      <c r="K34" s="23"/>
      <c r="L34" s="23"/>
      <c r="M34" s="23"/>
      <c r="N34" s="23">
        <v>0</v>
      </c>
      <c r="O34" s="23">
        <v>1</v>
      </c>
      <c r="P34" s="23">
        <v>2</v>
      </c>
      <c r="Q34" s="23">
        <v>3</v>
      </c>
      <c r="R34" s="23">
        <v>4</v>
      </c>
      <c r="S34" s="23">
        <v>5</v>
      </c>
      <c r="T34" s="23">
        <v>6</v>
      </c>
      <c r="U34" s="23">
        <v>7</v>
      </c>
      <c r="V34" s="23">
        <f>IF($B$11&gt;7,8,"")</f>
        <v>8</v>
      </c>
      <c r="W34" s="23">
        <f>IF($B$11&gt;8,9,"")</f>
        <v>9</v>
      </c>
      <c r="X34" s="23">
        <f>IF($B$11&gt;9,10,"")</f>
        <v>10</v>
      </c>
      <c r="Y34" s="23">
        <f>IF($B$11&gt;10,11,"")</f>
        <v>11</v>
      </c>
      <c r="Z34" s="23">
        <f>IF($B$11&gt;11,12,"")</f>
        <v>12</v>
      </c>
      <c r="AA34" s="23">
        <f>IF($B$11&gt;12,13,"")</f>
        <v>13</v>
      </c>
      <c r="AB34" s="23">
        <f>IF($B$11&gt;13,14,"")</f>
        <v>14</v>
      </c>
      <c r="AC34" s="23">
        <f>IF($B$11&gt;14,15,"")</f>
        <v>15</v>
      </c>
    </row>
    <row r="35" spans="1:29" ht="12.75" customHeight="1" x14ac:dyDescent="0.25">
      <c r="M35" s="268"/>
      <c r="N35" s="269"/>
      <c r="O35" s="272"/>
      <c r="P35" s="272"/>
      <c r="Q35" s="272"/>
      <c r="R35" s="272"/>
      <c r="S35" s="272"/>
      <c r="T35" s="272"/>
      <c r="U35" s="272"/>
      <c r="V35" s="10"/>
      <c r="W35" s="10"/>
      <c r="X35" s="10"/>
      <c r="Y35" s="10"/>
      <c r="Z35" s="10"/>
      <c r="AA35" s="7"/>
      <c r="AB35" s="7"/>
      <c r="AC35" s="7"/>
    </row>
    <row r="36" spans="1:29" ht="18" x14ac:dyDescent="0.25">
      <c r="A36" s="21" t="s">
        <v>46</v>
      </c>
      <c r="L36" s="504" t="s">
        <v>47</v>
      </c>
      <c r="M36" s="268"/>
      <c r="N36" s="268"/>
      <c r="O36" s="272"/>
      <c r="P36" s="272"/>
      <c r="Q36" s="272"/>
      <c r="R36" s="272"/>
      <c r="S36" s="272"/>
      <c r="T36" s="272"/>
      <c r="U36" s="272"/>
      <c r="V36" s="10"/>
      <c r="W36" s="10"/>
      <c r="X36" s="10"/>
      <c r="Y36" s="10"/>
      <c r="Z36" s="10"/>
      <c r="AA36" s="7"/>
      <c r="AB36" s="7"/>
      <c r="AC36" s="7"/>
    </row>
    <row r="37" spans="1:29" s="268" customFormat="1" ht="12.75" customHeight="1" x14ac:dyDescent="0.2">
      <c r="A37" s="23" t="s">
        <v>298</v>
      </c>
      <c r="B37" s="23"/>
      <c r="C37" s="23"/>
      <c r="E37" s="514" t="s">
        <v>315</v>
      </c>
      <c r="F37" s="544"/>
      <c r="G37" s="544"/>
      <c r="H37" s="545" t="s">
        <v>314</v>
      </c>
      <c r="I37" s="546"/>
      <c r="J37" s="546"/>
      <c r="K37" s="544"/>
      <c r="L37" s="543"/>
      <c r="O37" s="272"/>
      <c r="P37" s="272"/>
      <c r="Q37" s="272"/>
      <c r="R37" s="272"/>
      <c r="S37" s="272"/>
      <c r="T37" s="272"/>
      <c r="U37" s="272"/>
      <c r="V37" s="10"/>
      <c r="W37" s="10"/>
      <c r="X37" s="10"/>
      <c r="Y37" s="10"/>
      <c r="Z37" s="10"/>
      <c r="AA37" s="7"/>
      <c r="AB37" s="7"/>
      <c r="AC37" s="7"/>
    </row>
    <row r="38" spans="1:29" s="268" customFormat="1" ht="12.75" customHeight="1" x14ac:dyDescent="0.2">
      <c r="A38" s="7" t="s">
        <v>351</v>
      </c>
      <c r="B38" s="23"/>
      <c r="C38" s="23"/>
      <c r="E38" s="264">
        <f>Productie_en_afzet!B13</f>
        <v>0</v>
      </c>
      <c r="H38" s="529">
        <v>0</v>
      </c>
      <c r="I38" s="530"/>
      <c r="J38" s="531"/>
      <c r="L38" s="547">
        <v>0.02</v>
      </c>
      <c r="M38" s="7"/>
      <c r="O38" s="269">
        <f>E38*H38</f>
        <v>0</v>
      </c>
      <c r="P38" s="269">
        <f>O38*(1+$L$38)</f>
        <v>0</v>
      </c>
      <c r="Q38" s="269">
        <f t="shared" ref="Q38:U39" si="0">P38*(1+$L$38)</f>
        <v>0</v>
      </c>
      <c r="R38" s="269">
        <f t="shared" si="0"/>
        <v>0</v>
      </c>
      <c r="S38" s="269">
        <f t="shared" si="0"/>
        <v>0</v>
      </c>
      <c r="T38" s="269">
        <f t="shared" si="0"/>
        <v>0</v>
      </c>
      <c r="U38" s="269">
        <f t="shared" si="0"/>
        <v>0</v>
      </c>
      <c r="V38" s="31">
        <f>IF($B$11&gt;7,IF($B$10&gt;7,U38*(1+$L$38),0),"")</f>
        <v>0</v>
      </c>
      <c r="W38" s="31">
        <f>IF($B$11&gt;8,IF($B$10&gt;8,V38*(1+$L$38),0),"")</f>
        <v>0</v>
      </c>
      <c r="X38" s="31">
        <f>IF($B$11&gt;9,IF($B$10&gt;9,W38*(1+$L$38),0),"")</f>
        <v>0</v>
      </c>
      <c r="Y38" s="31">
        <f>IF($B$11&gt;10,IF($B$10&gt;10,X38*(1+$L$38),0),"")</f>
        <v>0</v>
      </c>
      <c r="Z38" s="31">
        <f>IF($B$11&gt;11,IF($B$10&gt;11,Y38*(1+$L$38),0),"")</f>
        <v>0</v>
      </c>
      <c r="AA38" s="31">
        <f>IF($B$11&gt;12,IF($B$10&gt;12,Z38*(1+$L$38),0),"")</f>
        <v>0</v>
      </c>
      <c r="AB38" s="31">
        <f>IF($B$11&gt;13,IF($B$10&gt;13,AA38*(1+$L$38),0),"")</f>
        <v>0</v>
      </c>
      <c r="AC38" s="31">
        <f>IF($B$11&gt;14,IF($B$10&gt;14,AB38*(1+$L$38),0),"")</f>
        <v>0</v>
      </c>
    </row>
    <row r="39" spans="1:29" s="268" customFormat="1" ht="12.75" customHeight="1" x14ac:dyDescent="0.2">
      <c r="A39" s="7" t="s">
        <v>367</v>
      </c>
      <c r="B39" s="23"/>
      <c r="C39" s="23"/>
      <c r="E39" s="302">
        <f>Productie_en_afzet!B15</f>
        <v>0</v>
      </c>
      <c r="H39" s="532"/>
      <c r="I39" s="533"/>
      <c r="J39" s="534"/>
      <c r="L39" s="548"/>
      <c r="M39" s="7"/>
      <c r="O39" s="269">
        <f>E39*H38</f>
        <v>0</v>
      </c>
      <c r="P39" s="269">
        <f>O39*(1+$L$38)</f>
        <v>0</v>
      </c>
      <c r="Q39" s="269">
        <f>P39*(1+$L$38)</f>
        <v>0</v>
      </c>
      <c r="R39" s="269">
        <f>Q39*(1+$L$38)</f>
        <v>0</v>
      </c>
      <c r="S39" s="269">
        <f t="shared" si="0"/>
        <v>0</v>
      </c>
      <c r="T39" s="269">
        <f t="shared" si="0"/>
        <v>0</v>
      </c>
      <c r="U39" s="269">
        <f t="shared" si="0"/>
        <v>0</v>
      </c>
      <c r="V39" s="31">
        <f>IF($B$11&gt;7,IF($B$10&gt;7,U39*(1+$L$38),0),"")</f>
        <v>0</v>
      </c>
      <c r="W39" s="31">
        <f>IF($B$11&gt;8,IF($B$10&gt;8,V39*(1+$L$38),0),"")</f>
        <v>0</v>
      </c>
      <c r="X39" s="31">
        <f>IF($B$11&gt;9,IF($B$10&gt;9,W39*(1+$L$38),0),"")</f>
        <v>0</v>
      </c>
      <c r="Y39" s="31">
        <f>IF($B$11&gt;10,IF($B$10&gt;10,X39*(1+$L$38),0),"")</f>
        <v>0</v>
      </c>
      <c r="Z39" s="31">
        <f>IF($B$11&gt;11,IF($B$10&gt;11,Y39*(1+$L$38),0),"")</f>
        <v>0</v>
      </c>
      <c r="AA39" s="31">
        <f>IF($B$11&gt;12,IF($B$10&gt;12,Z39*(1+$L$38),0),"")</f>
        <v>0</v>
      </c>
      <c r="AB39" s="31">
        <f>IF($B$11&gt;13,IF($B$10&gt;13,AA39*(1+$L$38),0),"")</f>
        <v>0</v>
      </c>
      <c r="AC39" s="31">
        <f>IF($B$11&gt;14,IF($B$10&gt;14,AB39*(1+$L$38),0),"")</f>
        <v>0</v>
      </c>
    </row>
    <row r="40" spans="1:29" s="268" customFormat="1" ht="12.75" customHeight="1" x14ac:dyDescent="0.2">
      <c r="A40" s="7" t="s">
        <v>355</v>
      </c>
      <c r="B40" s="23"/>
      <c r="C40" s="23"/>
      <c r="E40" s="302">
        <f>'Proj.gegevens_invest.begroting'!D25</f>
        <v>0</v>
      </c>
      <c r="H40" s="532"/>
      <c r="I40" s="533"/>
      <c r="J40" s="534"/>
      <c r="L40" s="548"/>
      <c r="M40" s="7"/>
      <c r="O40" s="269">
        <v>0</v>
      </c>
      <c r="P40" s="269">
        <v>0</v>
      </c>
      <c r="Q40" s="269">
        <v>0</v>
      </c>
      <c r="R40" s="269">
        <v>0</v>
      </c>
      <c r="S40" s="269">
        <v>0</v>
      </c>
      <c r="T40" s="269">
        <v>0</v>
      </c>
      <c r="U40" s="269">
        <v>0</v>
      </c>
      <c r="V40" s="31">
        <f>IF($B$11&gt;7,IF($B$10&gt;7,0,$E$40*$H$38*POWER(1+$L$38,7)),"")</f>
        <v>0</v>
      </c>
      <c r="W40" s="31">
        <f>IF($B$11&gt;8,IF($B$10&gt;8,0,$E$40*$H$38*POWER(1+$L$38,8)),"")</f>
        <v>0</v>
      </c>
      <c r="X40" s="31">
        <f>IF($B$11&gt;9,IF($B$10&gt;9,0,$E$40*$H$38*POWER(1+$L$38,9)),"")</f>
        <v>0</v>
      </c>
      <c r="Y40" s="31">
        <f>IF($B$11&gt;10,IF($B$10&gt;10,0,$E$40*$H$38*POWER(1+$L$38,10)),"")</f>
        <v>0</v>
      </c>
      <c r="Z40" s="31">
        <f>IF($B$11&gt;11,IF($B$10&gt;11,0,$E$40*$H$38*POWER(1+$L$38,11)),"")</f>
        <v>0</v>
      </c>
      <c r="AA40" s="31">
        <f>IF($B$11&gt;12,IF($B$10&gt;12,0,$E$40*$H$38*POWER(1+$L$38,12)),"")</f>
        <v>0</v>
      </c>
      <c r="AB40" s="31">
        <f>IF($B$11&gt;13,IF($B$10&gt;13,0,$E$40*$H$38*POWER(1+$L$38,13)),"")</f>
        <v>0</v>
      </c>
      <c r="AC40" s="31">
        <f>IF($B$11&gt;14,IF($B$10&gt;14,0,$E$40*$H$38*POWER(1+$L$38,14)),"")</f>
        <v>0</v>
      </c>
    </row>
    <row r="41" spans="1:29" s="268" customFormat="1" ht="12.75" customHeight="1" x14ac:dyDescent="0.2">
      <c r="A41" s="7" t="s">
        <v>368</v>
      </c>
      <c r="B41" s="23"/>
      <c r="C41" s="23"/>
      <c r="E41" s="265">
        <f>'Proj.gegevens_invest.begroting'!D30</f>
        <v>0</v>
      </c>
      <c r="H41" s="535"/>
      <c r="I41" s="536"/>
      <c r="J41" s="537"/>
      <c r="L41" s="549"/>
      <c r="M41" s="7"/>
      <c r="O41" s="269">
        <v>0</v>
      </c>
      <c r="P41" s="269">
        <v>0</v>
      </c>
      <c r="Q41" s="269">
        <v>0</v>
      </c>
      <c r="R41" s="269">
        <v>0</v>
      </c>
      <c r="S41" s="269">
        <v>0</v>
      </c>
      <c r="T41" s="269">
        <v>0</v>
      </c>
      <c r="U41" s="269">
        <v>0</v>
      </c>
      <c r="V41" s="31">
        <f>IF($B$11&gt;7,IF($B$10&gt;7,0,$E$41*$H$38*POWER(1+$L$38,7)),"")</f>
        <v>0</v>
      </c>
      <c r="W41" s="31">
        <f>IF($B$11&gt;8,IF($B$10&gt;8,0,$E$41*$H$38*POWER(1+$L$38,8)),"")</f>
        <v>0</v>
      </c>
      <c r="X41" s="31">
        <f>IF($B$11&gt;9,IF($B$10&gt;9,0,$E$41*$H$38*POWER(1+$L$38,9)),"")</f>
        <v>0</v>
      </c>
      <c r="Y41" s="31">
        <f>IF($B$11&gt;10,IF($B$10&gt;10,0,$E$41*$H$38*POWER(1+$L$38,10)),"")</f>
        <v>0</v>
      </c>
      <c r="Z41" s="31">
        <f>IF($B$11&gt;11,IF($B$10&gt;11,0,$E$41*$H$38*POWER(1+$L$38,11)),"")</f>
        <v>0</v>
      </c>
      <c r="AA41" s="31">
        <f>IF($B$11&gt;12,IF($B$10&gt;12,0,$E$41*$H$38*POWER(1+$L$38,12)),"")</f>
        <v>0</v>
      </c>
      <c r="AB41" s="31">
        <f>IF($B$11&gt;13,IF($B$10&gt;13,0,$E$41*$H$38*POWER(1+$L$38,13)),"")</f>
        <v>0</v>
      </c>
      <c r="AC41" s="31">
        <f>IF($B$11&gt;14,IF($B$10&gt;14,0,$E$41*$H$38*POWER(1+$L$38,14)),"")</f>
        <v>0</v>
      </c>
    </row>
    <row r="42" spans="1:29" s="268" customFormat="1" ht="12.75" customHeight="1" x14ac:dyDescent="0.2">
      <c r="A42" s="7" t="s">
        <v>369</v>
      </c>
      <c r="B42" s="23"/>
      <c r="C42" s="23"/>
      <c r="E42" s="302">
        <f>'Proj.gegevens_invest.begroting'!D16</f>
        <v>0</v>
      </c>
      <c r="H42" s="529">
        <v>0</v>
      </c>
      <c r="I42" s="538"/>
      <c r="J42" s="539"/>
      <c r="L42" s="547">
        <v>0.02</v>
      </c>
      <c r="M42" s="7"/>
      <c r="O42" s="269">
        <f>E42*H42</f>
        <v>0</v>
      </c>
      <c r="P42" s="269">
        <f>O42*(1+$L$42)</f>
        <v>0</v>
      </c>
      <c r="Q42" s="269">
        <f t="shared" ref="Q42:U42" si="1">P42*(1+$L$42)</f>
        <v>0</v>
      </c>
      <c r="R42" s="269">
        <f t="shared" si="1"/>
        <v>0</v>
      </c>
      <c r="S42" s="269">
        <f t="shared" si="1"/>
        <v>0</v>
      </c>
      <c r="T42" s="269">
        <f t="shared" si="1"/>
        <v>0</v>
      </c>
      <c r="U42" s="269">
        <f t="shared" si="1"/>
        <v>0</v>
      </c>
      <c r="V42" s="31">
        <f>IF($B$11&gt;7,IF($B$10&gt;7,U42*(1+$L$42),0),"")</f>
        <v>0</v>
      </c>
      <c r="W42" s="31">
        <f>IF($B$11&gt;8,IF($B$10&gt;8,V42*(1+$L$42),0),"")</f>
        <v>0</v>
      </c>
      <c r="X42" s="31">
        <f>IF($B$11&gt;9,IF($B$10&gt;9,W42*(1+$L$42),0),"")</f>
        <v>0</v>
      </c>
      <c r="Y42" s="31">
        <f>IF($B$11&gt;10,IF($B$10&gt;10,X42*(1+$L$42),0),"")</f>
        <v>0</v>
      </c>
      <c r="Z42" s="31">
        <f>IF($B$11&gt;11,IF($B$10&gt;11,Y42*(1+$L$42),0),"")</f>
        <v>0</v>
      </c>
      <c r="AA42" s="31">
        <f>IF($B$11&gt;12,IF($B$10&gt;12,Z42*(1+$L$42),0),"")</f>
        <v>0</v>
      </c>
      <c r="AB42" s="31">
        <f>IF($B$11&gt;13,IF($B$10&gt;13,AA42*(1+$L$42),0),"")</f>
        <v>0</v>
      </c>
      <c r="AC42" s="31">
        <f>IF($B$11&gt;14,IF($B$10&gt;14,AB42*(1+$L$42),0),"")</f>
        <v>0</v>
      </c>
    </row>
    <row r="43" spans="1:29" s="268" customFormat="1" ht="12.75" customHeight="1" x14ac:dyDescent="0.2">
      <c r="A43" s="7" t="s">
        <v>370</v>
      </c>
      <c r="B43" s="23"/>
      <c r="C43" s="23"/>
      <c r="E43" s="348">
        <f>'Proj.gegevens_invest.begroting'!D26</f>
        <v>0</v>
      </c>
      <c r="H43" s="540"/>
      <c r="I43" s="541"/>
      <c r="J43" s="542"/>
      <c r="L43" s="549"/>
      <c r="M43" s="7"/>
      <c r="O43" s="269">
        <v>0</v>
      </c>
      <c r="P43" s="269">
        <v>0</v>
      </c>
      <c r="Q43" s="269">
        <v>0</v>
      </c>
      <c r="R43" s="269">
        <v>0</v>
      </c>
      <c r="S43" s="269">
        <v>0</v>
      </c>
      <c r="T43" s="269">
        <v>0</v>
      </c>
      <c r="U43" s="269">
        <v>0</v>
      </c>
      <c r="V43" s="31">
        <f>IF($B$11&gt;7,IF($B$10&gt;7,0,$E$43*$H$42*POWER(1+$L$42,7)),"")</f>
        <v>0</v>
      </c>
      <c r="W43" s="31">
        <f>IF($B$11&gt;8,IF($B$10&gt;8,0,$E$43*$H$42*POWER(1+$L$42,8)),"")</f>
        <v>0</v>
      </c>
      <c r="X43" s="31">
        <f>IF($B$11&gt;9,IF($B$10&gt;9,0,$E$43*$H$42*POWER(1+$L$42,9)),"")</f>
        <v>0</v>
      </c>
      <c r="Y43" s="31">
        <f>IF($B$11&gt;10,IF($B$10&gt;10,0,$E$43*$H$42*POWER(1+$L$42,10)),"")</f>
        <v>0</v>
      </c>
      <c r="Z43" s="31">
        <f>IF($B$11&gt;11,IF($B$10&gt;11,0,$E$43*$H$42*POWER(1+$L$42,11)),"")</f>
        <v>0</v>
      </c>
      <c r="AA43" s="31">
        <f>IF($B$11&gt;12,IF($B$10&gt;12,0,$E$43*$H$42*POWER(1+$L$42,12)),"")</f>
        <v>0</v>
      </c>
      <c r="AB43" s="31">
        <f>IF($B$11&gt;13,IF($B$10&gt;13,0,$E$43*$H$42*POWER(1+$L$42,13)),"")</f>
        <v>0</v>
      </c>
      <c r="AC43" s="31">
        <f>IF($B$11&gt;14,IF($B$10&gt;14,0,$E$43*$H$42*POWER(1+$L$42,14)),"")</f>
        <v>0</v>
      </c>
    </row>
    <row r="44" spans="1:29" s="268" customFormat="1" ht="12.75" customHeight="1" x14ac:dyDescent="0.2">
      <c r="A44" s="7"/>
      <c r="B44" s="23"/>
      <c r="C44" s="23"/>
      <c r="E44" s="96"/>
      <c r="H44" s="349"/>
      <c r="I44" s="349"/>
      <c r="J44" s="349"/>
      <c r="L44" s="350"/>
      <c r="M44" s="7"/>
      <c r="O44" s="269"/>
      <c r="P44" s="269"/>
      <c r="Q44" s="269"/>
      <c r="R44" s="269"/>
      <c r="S44" s="269"/>
      <c r="T44" s="269"/>
      <c r="U44" s="269"/>
      <c r="V44" s="31"/>
      <c r="W44" s="31"/>
      <c r="X44" s="31"/>
      <c r="Y44" s="31"/>
      <c r="Z44" s="31"/>
      <c r="AA44" s="31"/>
      <c r="AB44" s="31"/>
      <c r="AC44" s="31"/>
    </row>
    <row r="45" spans="1:29" s="268" customFormat="1" ht="12.75" customHeight="1" x14ac:dyDescent="0.2">
      <c r="A45" s="23" t="s">
        <v>297</v>
      </c>
      <c r="B45" s="23"/>
      <c r="C45" s="23"/>
      <c r="L45" s="304"/>
      <c r="O45" s="27">
        <f t="shared" ref="O45:U45" si="2">SUM(O38:O43)</f>
        <v>0</v>
      </c>
      <c r="P45" s="27">
        <f t="shared" si="2"/>
        <v>0</v>
      </c>
      <c r="Q45" s="27">
        <f t="shared" si="2"/>
        <v>0</v>
      </c>
      <c r="R45" s="27">
        <f t="shared" si="2"/>
        <v>0</v>
      </c>
      <c r="S45" s="27">
        <f t="shared" si="2"/>
        <v>0</v>
      </c>
      <c r="T45" s="27">
        <f t="shared" si="2"/>
        <v>0</v>
      </c>
      <c r="U45" s="27">
        <f t="shared" si="2"/>
        <v>0</v>
      </c>
      <c r="V45" s="27">
        <f>IF($B$11&gt;7,SUM(V38:V43),"")</f>
        <v>0</v>
      </c>
      <c r="W45" s="27">
        <f>IF($B$11&gt;8,SUM(W38:W43),"")</f>
        <v>0</v>
      </c>
      <c r="X45" s="27">
        <f>IF($B$11&gt;9,SUM(X38:X43),"")</f>
        <v>0</v>
      </c>
      <c r="Y45" s="27">
        <f>IF($B$11&gt;10,SUM(Y38:Y43),"")</f>
        <v>0</v>
      </c>
      <c r="Z45" s="27">
        <f>IF($B$11&gt;11,SUM(Z38:Z43),"")</f>
        <v>0</v>
      </c>
      <c r="AA45" s="27">
        <f>IF($B$11&gt;12,SUM(AA38:AA43),"")</f>
        <v>0</v>
      </c>
      <c r="AB45" s="27">
        <f>IF($B$11&gt;13,SUM(AB38:AB43),"")</f>
        <v>0</v>
      </c>
      <c r="AC45" s="27">
        <f>IF($B$11&gt;14,SUM(AC38:AC43),"")</f>
        <v>0</v>
      </c>
    </row>
    <row r="46" spans="1:29" s="268" customFormat="1" ht="30.75" customHeight="1" x14ac:dyDescent="0.2">
      <c r="B46" s="555"/>
      <c r="C46" s="555"/>
      <c r="E46" s="550" t="s">
        <v>284</v>
      </c>
      <c r="H46" s="504"/>
      <c r="I46" s="550"/>
      <c r="J46" s="550"/>
      <c r="L46" s="504"/>
      <c r="O46" s="272"/>
      <c r="P46" s="272"/>
      <c r="Q46" s="272"/>
      <c r="R46" s="272"/>
      <c r="S46" s="272"/>
      <c r="T46" s="272"/>
      <c r="U46" s="272"/>
      <c r="V46" s="272"/>
      <c r="W46" s="303"/>
      <c r="X46" s="303"/>
      <c r="Y46" s="303"/>
      <c r="Z46" s="303"/>
    </row>
    <row r="47" spans="1:29" s="268" customFormat="1" ht="12.75" customHeight="1" x14ac:dyDescent="0.2">
      <c r="A47" s="23" t="s">
        <v>299</v>
      </c>
      <c r="B47" s="555"/>
      <c r="C47" s="555"/>
      <c r="E47" s="551"/>
      <c r="H47" s="550"/>
      <c r="I47" s="550"/>
      <c r="J47" s="550"/>
      <c r="L47" s="550"/>
      <c r="O47" s="272"/>
      <c r="P47" s="272"/>
      <c r="Q47" s="272"/>
      <c r="R47" s="272"/>
      <c r="S47" s="272"/>
      <c r="T47" s="272"/>
      <c r="U47" s="272"/>
      <c r="V47" s="272"/>
      <c r="W47" s="303"/>
      <c r="X47" s="303"/>
      <c r="Y47" s="303"/>
      <c r="Z47" s="303"/>
    </row>
    <row r="48" spans="1:29" s="268" customFormat="1" ht="12.75" customHeight="1" x14ac:dyDescent="0.2">
      <c r="A48" s="7"/>
      <c r="B48" s="556"/>
      <c r="C48" s="557"/>
      <c r="D48" s="305"/>
      <c r="E48" s="273">
        <f>Productie_en_afzet!B29</f>
        <v>0</v>
      </c>
      <c r="H48" s="558"/>
      <c r="I48" s="559"/>
      <c r="J48" s="559"/>
      <c r="L48" s="304"/>
      <c r="M48" s="560"/>
      <c r="N48" s="561"/>
      <c r="O48" s="269"/>
      <c r="P48" s="269"/>
      <c r="Q48" s="269"/>
      <c r="R48" s="269"/>
      <c r="S48" s="269"/>
      <c r="T48" s="269"/>
      <c r="U48" s="269"/>
      <c r="V48" s="269"/>
      <c r="W48" s="31"/>
      <c r="X48" s="31"/>
      <c r="Y48" s="31"/>
      <c r="Z48" s="31"/>
      <c r="AA48" s="31"/>
      <c r="AB48" s="31"/>
      <c r="AC48" s="31"/>
    </row>
    <row r="49" spans="1:29" s="268" customFormat="1" ht="12.75" customHeight="1" x14ac:dyDescent="0.2">
      <c r="A49" s="7"/>
      <c r="B49" s="562"/>
      <c r="C49" s="557"/>
      <c r="D49" s="305"/>
      <c r="E49" s="280"/>
      <c r="F49" s="7"/>
      <c r="H49" s="559"/>
      <c r="I49" s="559"/>
      <c r="J49" s="559"/>
      <c r="L49" s="304"/>
      <c r="M49" s="306"/>
      <c r="N49" s="305"/>
      <c r="O49" s="31"/>
      <c r="P49" s="31"/>
      <c r="Q49" s="31"/>
      <c r="R49" s="31"/>
      <c r="S49" s="31"/>
      <c r="T49" s="31"/>
      <c r="U49" s="31"/>
      <c r="V49" s="31"/>
      <c r="W49" s="31"/>
      <c r="X49" s="31"/>
      <c r="Y49" s="31"/>
      <c r="Z49" s="31"/>
      <c r="AA49" s="31"/>
      <c r="AB49" s="31"/>
      <c r="AC49" s="31"/>
    </row>
    <row r="50" spans="1:29" s="268" customFormat="1" ht="12.75" customHeight="1" x14ac:dyDescent="0.2">
      <c r="A50" s="7"/>
      <c r="B50" s="307"/>
      <c r="C50" s="26"/>
      <c r="D50" s="305"/>
      <c r="E50" s="280"/>
      <c r="F50" s="7"/>
      <c r="H50" s="308"/>
      <c r="I50" s="308"/>
      <c r="J50" s="308"/>
      <c r="L50" s="304"/>
      <c r="M50" s="306"/>
      <c r="N50" s="305"/>
      <c r="O50" s="31"/>
      <c r="P50" s="31"/>
      <c r="Q50" s="31"/>
      <c r="R50" s="31"/>
      <c r="S50" s="31"/>
      <c r="T50" s="31"/>
      <c r="U50" s="31"/>
      <c r="V50" s="31"/>
      <c r="W50" s="31"/>
      <c r="X50" s="31"/>
      <c r="Y50" s="31"/>
      <c r="Z50" s="31"/>
      <c r="AA50" s="31"/>
      <c r="AB50" s="31"/>
      <c r="AC50" s="31"/>
    </row>
    <row r="51" spans="1:29" s="268" customFormat="1" ht="12.75" customHeight="1" x14ac:dyDescent="0.2">
      <c r="A51" s="7" t="s">
        <v>391</v>
      </c>
      <c r="C51" s="7"/>
      <c r="D51" s="305"/>
      <c r="E51" s="309">
        <f>'Proj.gegevens_invest.begroting'!D36</f>
        <v>0</v>
      </c>
      <c r="H51" s="550" t="s">
        <v>300</v>
      </c>
      <c r="I51" s="550"/>
      <c r="J51" s="550"/>
      <c r="L51" s="504" t="s">
        <v>48</v>
      </c>
      <c r="M51" s="306"/>
      <c r="N51" s="305"/>
      <c r="O51" s="31"/>
      <c r="P51" s="31"/>
      <c r="Q51" s="31"/>
      <c r="R51" s="31"/>
      <c r="S51" s="31"/>
      <c r="T51" s="31"/>
      <c r="U51" s="31"/>
      <c r="V51" s="31"/>
      <c r="W51" s="31"/>
      <c r="X51" s="31"/>
      <c r="Y51" s="31"/>
      <c r="Z51" s="31"/>
      <c r="AA51" s="31"/>
      <c r="AB51" s="31"/>
      <c r="AC51" s="31"/>
    </row>
    <row r="52" spans="1:29" s="268" customFormat="1" ht="12.75" customHeight="1" x14ac:dyDescent="0.2">
      <c r="A52" s="7"/>
      <c r="C52" s="7"/>
      <c r="D52" s="305"/>
      <c r="E52" s="308"/>
      <c r="H52" s="550"/>
      <c r="I52" s="550"/>
      <c r="J52" s="550"/>
      <c r="L52" s="504"/>
      <c r="M52" s="306"/>
      <c r="N52" s="305"/>
      <c r="O52" s="31"/>
      <c r="P52" s="31"/>
      <c r="Q52" s="31"/>
      <c r="R52" s="31"/>
      <c r="S52" s="31"/>
      <c r="T52" s="31"/>
      <c r="U52" s="31"/>
      <c r="V52" s="31"/>
      <c r="W52" s="31"/>
      <c r="X52" s="31"/>
      <c r="Y52" s="31"/>
      <c r="Z52" s="31"/>
      <c r="AA52" s="31"/>
      <c r="AB52" s="31"/>
      <c r="AC52" s="31"/>
    </row>
    <row r="53" spans="1:29" s="268" customFormat="1" ht="26.25" customHeight="1" x14ac:dyDescent="0.2">
      <c r="B53" s="280"/>
      <c r="C53" s="7"/>
      <c r="D53" s="305"/>
      <c r="H53" s="551"/>
      <c r="I53" s="551"/>
      <c r="J53" s="551"/>
      <c r="L53" s="550"/>
      <c r="M53" s="306"/>
      <c r="N53" s="305"/>
      <c r="O53" s="31"/>
      <c r="P53" s="31"/>
      <c r="Q53" s="31"/>
      <c r="R53" s="31"/>
      <c r="S53" s="31"/>
      <c r="T53" s="31"/>
      <c r="U53" s="31"/>
      <c r="V53" s="31"/>
      <c r="W53" s="31"/>
      <c r="X53" s="31"/>
      <c r="Y53" s="31"/>
      <c r="Z53" s="31"/>
      <c r="AA53" s="31"/>
      <c r="AB53" s="31"/>
      <c r="AC53" s="31"/>
    </row>
    <row r="54" spans="1:29" s="268" customFormat="1" ht="12.75" customHeight="1" x14ac:dyDescent="0.2">
      <c r="A54" s="7" t="s">
        <v>300</v>
      </c>
      <c r="B54" s="280"/>
      <c r="C54" s="7"/>
      <c r="D54" s="305"/>
      <c r="H54" s="552">
        <v>3.9895</v>
      </c>
      <c r="I54" s="553"/>
      <c r="J54" s="554"/>
      <c r="L54" s="90">
        <v>0.02</v>
      </c>
      <c r="M54" s="306"/>
      <c r="N54" s="305"/>
      <c r="O54" s="310">
        <f>H54</f>
        <v>3.9895</v>
      </c>
      <c r="P54" s="310">
        <f>O54*(1+$L$54)</f>
        <v>4.0692900000000005</v>
      </c>
      <c r="Q54" s="310">
        <f t="shared" ref="Q54:U54" si="3">P54*(1+$L$54)</f>
        <v>4.150675800000001</v>
      </c>
      <c r="R54" s="310">
        <f t="shared" si="3"/>
        <v>4.2336893160000013</v>
      </c>
      <c r="S54" s="310">
        <f t="shared" si="3"/>
        <v>4.3183631023200011</v>
      </c>
      <c r="T54" s="310">
        <f t="shared" si="3"/>
        <v>4.4047303643664009</v>
      </c>
      <c r="U54" s="310">
        <f t="shared" si="3"/>
        <v>4.4928249716537287</v>
      </c>
      <c r="V54" s="310">
        <f>IF($B$11&gt;7,IF($B$10&gt;7,U54*(1+$L$54),0),"")</f>
        <v>4.5826814710868033</v>
      </c>
      <c r="W54" s="310">
        <f>IF($B$11&gt;8,IF($B$10&gt;8,V54*(1+$L$54),0),"")</f>
        <v>4.6743351005085394</v>
      </c>
      <c r="X54" s="310">
        <f>IF($B$11&gt;9,IF($B$10&gt;9,W54*(1+$L$54),0),"")</f>
        <v>4.7678218025187107</v>
      </c>
      <c r="Y54" s="310">
        <f>IF($B$11&gt;10,IF($B$10&gt;10,X54*(1+$L$54),0),"")</f>
        <v>4.8631782385690849</v>
      </c>
      <c r="Z54" s="310">
        <f>IF($B$11&gt;11,IF($B$10&gt;11,Y54*(1+$L$54),0),"")</f>
        <v>4.9604418033404665</v>
      </c>
      <c r="AA54" s="310">
        <f>IF($B$11&gt;12,IF($B$10&gt;12,Z54*(1+$L$54),0),"")</f>
        <v>5.059650639407276</v>
      </c>
      <c r="AB54" s="310">
        <f>IF($B$11&gt;13,IF($B$10&gt;13,AA54*(1+$L$54),0),"")</f>
        <v>5.160843652195422</v>
      </c>
      <c r="AC54" s="310">
        <f>IF($B$11&gt;14,IF($B$10&gt;14,AB54*(1+$L$54),0),"")</f>
        <v>5.2640605252393309</v>
      </c>
    </row>
    <row r="55" spans="1:29" s="268" customFormat="1" ht="12.75" customHeight="1" x14ac:dyDescent="0.2">
      <c r="A55" s="7" t="s">
        <v>301</v>
      </c>
      <c r="B55" s="280"/>
      <c r="C55" s="7"/>
      <c r="D55" s="305"/>
      <c r="H55" s="311"/>
      <c r="I55" s="311"/>
      <c r="J55" s="311"/>
      <c r="L55" s="312"/>
      <c r="M55" s="306"/>
      <c r="N55" s="305"/>
      <c r="O55" s="310">
        <f t="shared" ref="O55:T55" si="4">IF($E$51-O54&gt;0,$E$51-O54,0)</f>
        <v>0</v>
      </c>
      <c r="P55" s="310">
        <f t="shared" si="4"/>
        <v>0</v>
      </c>
      <c r="Q55" s="310">
        <f t="shared" si="4"/>
        <v>0</v>
      </c>
      <c r="R55" s="310">
        <f t="shared" si="4"/>
        <v>0</v>
      </c>
      <c r="S55" s="310">
        <f t="shared" si="4"/>
        <v>0</v>
      </c>
      <c r="T55" s="310">
        <f t="shared" si="4"/>
        <v>0</v>
      </c>
      <c r="U55" s="310">
        <f>IF($E$51-U54&gt;0,$E$51-U54,0)</f>
        <v>0</v>
      </c>
      <c r="V55" s="310">
        <f>IF($B$11&gt;7,IF($B$10&gt;7,IF($E$51-V54&gt;0,$E$51-V54,0),0),"")</f>
        <v>0</v>
      </c>
      <c r="W55" s="310">
        <f>IF($B$11&gt;8,IF($B$10&gt;8,IF($E$51-W54&gt;0,$E$51-W54,0),0),"")</f>
        <v>0</v>
      </c>
      <c r="X55" s="310">
        <f>IF($B$11&gt;9,IF($B$10&gt;9,IF($E$51-X54&gt;0,$E$51-X54,0),0),"")</f>
        <v>0</v>
      </c>
      <c r="Y55" s="310">
        <f>IF($B$11&gt;10,IF($B$10&gt;10,IF($E$51-Y54&gt;0,$E$51-Y54,0),0),"")</f>
        <v>0</v>
      </c>
      <c r="Z55" s="310">
        <f>IF($B$11&gt;11,IF($B$10&gt;11,IF($E$51-Z54&gt;0,$E$51-Z54,0),0),"")</f>
        <v>0</v>
      </c>
      <c r="AA55" s="310">
        <f>IF($B$11&gt;12,IF($B$10&gt;12,IF($E$51-AA54&gt;0,$E$51-AA54,0),0),"")</f>
        <v>0</v>
      </c>
      <c r="AB55" s="310">
        <f>IF($B$11&gt;13,IF($B$10&gt;13,IF($E$51-AB54&gt;0,$E$51-AB54,0),0),"")</f>
        <v>0</v>
      </c>
      <c r="AC55" s="310">
        <f>IF($B$11&gt;14,IF($B$10&gt;14,IF($E$51-AC54&gt;0,$E$51-AC54,0),0),"")</f>
        <v>0</v>
      </c>
    </row>
    <row r="56" spans="1:29" s="268" customFormat="1" ht="12.75" customHeight="1" x14ac:dyDescent="0.2">
      <c r="A56" s="23" t="s">
        <v>302</v>
      </c>
      <c r="B56" s="280"/>
      <c r="C56" s="7"/>
      <c r="D56" s="305"/>
      <c r="H56" s="311"/>
      <c r="I56" s="311"/>
      <c r="J56" s="311"/>
      <c r="L56" s="312"/>
      <c r="M56" s="306"/>
      <c r="N56" s="305"/>
      <c r="O56" s="27">
        <f>$E$48*O55</f>
        <v>0</v>
      </c>
      <c r="P56" s="27">
        <f t="shared" ref="P56:U56" si="5">$E$48*P55</f>
        <v>0</v>
      </c>
      <c r="Q56" s="27">
        <f t="shared" si="5"/>
        <v>0</v>
      </c>
      <c r="R56" s="27">
        <f t="shared" si="5"/>
        <v>0</v>
      </c>
      <c r="S56" s="27">
        <f t="shared" si="5"/>
        <v>0</v>
      </c>
      <c r="T56" s="27">
        <f t="shared" si="5"/>
        <v>0</v>
      </c>
      <c r="U56" s="27">
        <f t="shared" si="5"/>
        <v>0</v>
      </c>
      <c r="V56" s="27">
        <f>IF($B$11&gt;7,IF($B$10&gt;7,$E$48*V55,0),"")</f>
        <v>0</v>
      </c>
      <c r="W56" s="27">
        <f>IF($B$11&gt;8,IF($B$10&gt;8,$E$48*W55,0),"")</f>
        <v>0</v>
      </c>
      <c r="X56" s="27">
        <f>IF($B$11&gt;9,IF($B$10&gt;9,$E$48*X55,0),"")</f>
        <v>0</v>
      </c>
      <c r="Y56" s="27">
        <f>IF($B$11&gt;10,IF($B$10&gt;10,$E$48*Y55,0),"")</f>
        <v>0</v>
      </c>
      <c r="Z56" s="27">
        <f>IF($B$11&gt;11,IF($B$10&gt;11,$E$48*Z55,0),"")</f>
        <v>0</v>
      </c>
      <c r="AA56" s="27">
        <f>IF($B$11&gt;12,IF($B$10&gt;12,$E$48*AA55,0),"")</f>
        <v>0</v>
      </c>
      <c r="AB56" s="27">
        <f>IF($B$11&gt;13,IF($B$10&gt;13,$E$48*AB55,0),"")</f>
        <v>0</v>
      </c>
      <c r="AC56" s="27">
        <f>IF($B$11&gt;14,IF($B$10&gt;14,$E$48*AC55,0),"")</f>
        <v>0</v>
      </c>
    </row>
    <row r="57" spans="1:29" s="268" customFormat="1" ht="12.75" customHeight="1" x14ac:dyDescent="0.2">
      <c r="A57" s="23"/>
      <c r="B57" s="23"/>
      <c r="C57" s="23"/>
      <c r="L57" s="304"/>
      <c r="M57" s="305"/>
      <c r="N57" s="305"/>
      <c r="O57" s="27"/>
      <c r="P57" s="27"/>
      <c r="Q57" s="27"/>
      <c r="R57" s="27"/>
      <c r="S57" s="27"/>
      <c r="T57" s="27"/>
      <c r="U57" s="27"/>
      <c r="V57" s="27"/>
      <c r="W57" s="313"/>
      <c r="X57" s="313"/>
      <c r="Y57" s="313"/>
      <c r="Z57" s="313"/>
    </row>
    <row r="58" spans="1:29" s="268" customFormat="1" ht="12.75" x14ac:dyDescent="0.2">
      <c r="A58" s="23" t="s">
        <v>49</v>
      </c>
      <c r="B58" s="23"/>
      <c r="C58" s="23"/>
      <c r="O58" s="272"/>
      <c r="P58" s="272"/>
      <c r="Q58" s="272"/>
      <c r="R58" s="272"/>
      <c r="S58" s="272"/>
      <c r="T58" s="272"/>
      <c r="U58" s="272"/>
      <c r="V58" s="272"/>
      <c r="W58" s="303"/>
      <c r="X58" s="303"/>
      <c r="Y58" s="303"/>
      <c r="Z58" s="303"/>
    </row>
    <row r="59" spans="1:29" s="268" customFormat="1" ht="12.75" x14ac:dyDescent="0.2">
      <c r="A59" s="268" t="s">
        <v>50</v>
      </c>
      <c r="B59" s="566"/>
      <c r="C59" s="567"/>
      <c r="D59" s="567"/>
      <c r="E59" s="567"/>
      <c r="F59" s="567"/>
      <c r="G59" s="567"/>
      <c r="H59" s="567"/>
      <c r="I59" s="567"/>
      <c r="J59" s="567"/>
      <c r="K59" s="567"/>
      <c r="L59" s="568"/>
      <c r="N59" s="272"/>
      <c r="O59" s="84">
        <v>0</v>
      </c>
      <c r="P59" s="85">
        <f>O59*1.015</f>
        <v>0</v>
      </c>
      <c r="Q59" s="85">
        <f t="shared" ref="Q59:AC59" si="6">P59*1.015</f>
        <v>0</v>
      </c>
      <c r="R59" s="85">
        <f t="shared" si="6"/>
        <v>0</v>
      </c>
      <c r="S59" s="85">
        <f t="shared" si="6"/>
        <v>0</v>
      </c>
      <c r="T59" s="85">
        <f t="shared" si="6"/>
        <v>0</v>
      </c>
      <c r="U59" s="85">
        <f t="shared" si="6"/>
        <v>0</v>
      </c>
      <c r="V59" s="96">
        <f t="shared" si="6"/>
        <v>0</v>
      </c>
      <c r="W59" s="96">
        <f t="shared" si="6"/>
        <v>0</v>
      </c>
      <c r="X59" s="96">
        <f t="shared" si="6"/>
        <v>0</v>
      </c>
      <c r="Y59" s="96">
        <f t="shared" si="6"/>
        <v>0</v>
      </c>
      <c r="Z59" s="96">
        <f t="shared" si="6"/>
        <v>0</v>
      </c>
      <c r="AA59" s="96">
        <f t="shared" si="6"/>
        <v>0</v>
      </c>
      <c r="AB59" s="96">
        <f t="shared" si="6"/>
        <v>0</v>
      </c>
      <c r="AC59" s="96">
        <f t="shared" si="6"/>
        <v>0</v>
      </c>
    </row>
    <row r="60" spans="1:29" s="268" customFormat="1" ht="12.75" x14ac:dyDescent="0.2">
      <c r="A60" s="268" t="s">
        <v>303</v>
      </c>
      <c r="B60" s="573" t="s">
        <v>102</v>
      </c>
      <c r="C60" s="574"/>
      <c r="D60" s="574"/>
      <c r="E60" s="574"/>
      <c r="F60" s="574"/>
      <c r="G60" s="574"/>
      <c r="H60" s="574"/>
      <c r="I60" s="574"/>
      <c r="J60" s="574"/>
      <c r="K60" s="574"/>
      <c r="L60" s="575"/>
      <c r="N60" s="272"/>
      <c r="O60" s="86">
        <v>0</v>
      </c>
      <c r="P60" s="87">
        <f t="shared" ref="P60:P62" si="7">O60*1.015</f>
        <v>0</v>
      </c>
      <c r="Q60" s="87">
        <f t="shared" ref="Q60:AC60" si="8">P60*1.015</f>
        <v>0</v>
      </c>
      <c r="R60" s="87">
        <f t="shared" si="8"/>
        <v>0</v>
      </c>
      <c r="S60" s="87">
        <f t="shared" si="8"/>
        <v>0</v>
      </c>
      <c r="T60" s="87">
        <f t="shared" si="8"/>
        <v>0</v>
      </c>
      <c r="U60" s="87">
        <f t="shared" si="8"/>
        <v>0</v>
      </c>
      <c r="V60" s="96">
        <f t="shared" si="8"/>
        <v>0</v>
      </c>
      <c r="W60" s="96">
        <f t="shared" si="8"/>
        <v>0</v>
      </c>
      <c r="X60" s="96">
        <f t="shared" si="8"/>
        <v>0</v>
      </c>
      <c r="Y60" s="96">
        <f t="shared" si="8"/>
        <v>0</v>
      </c>
      <c r="Z60" s="96">
        <f t="shared" si="8"/>
        <v>0</v>
      </c>
      <c r="AA60" s="96">
        <f t="shared" si="8"/>
        <v>0</v>
      </c>
      <c r="AB60" s="96">
        <f t="shared" si="8"/>
        <v>0</v>
      </c>
      <c r="AC60" s="96">
        <f t="shared" si="8"/>
        <v>0</v>
      </c>
    </row>
    <row r="61" spans="1:29" s="268" customFormat="1" ht="12.75" x14ac:dyDescent="0.2">
      <c r="A61" s="268" t="s">
        <v>303</v>
      </c>
      <c r="B61" s="569" t="s">
        <v>313</v>
      </c>
      <c r="C61" s="474"/>
      <c r="D61" s="474"/>
      <c r="E61" s="474"/>
      <c r="F61" s="474"/>
      <c r="G61" s="474"/>
      <c r="H61" s="474"/>
      <c r="I61" s="474"/>
      <c r="J61" s="474"/>
      <c r="K61" s="474"/>
      <c r="L61" s="475"/>
      <c r="N61" s="272"/>
      <c r="O61" s="86">
        <v>0</v>
      </c>
      <c r="P61" s="87">
        <f t="shared" si="7"/>
        <v>0</v>
      </c>
      <c r="Q61" s="87">
        <f t="shared" ref="Q61:AC61" si="9">P61*1.015</f>
        <v>0</v>
      </c>
      <c r="R61" s="87">
        <f t="shared" si="9"/>
        <v>0</v>
      </c>
      <c r="S61" s="87">
        <f t="shared" si="9"/>
        <v>0</v>
      </c>
      <c r="T61" s="87">
        <f t="shared" si="9"/>
        <v>0</v>
      </c>
      <c r="U61" s="87">
        <f t="shared" si="9"/>
        <v>0</v>
      </c>
      <c r="V61" s="96">
        <f t="shared" si="9"/>
        <v>0</v>
      </c>
      <c r="W61" s="96">
        <f t="shared" si="9"/>
        <v>0</v>
      </c>
      <c r="X61" s="96">
        <f t="shared" si="9"/>
        <v>0</v>
      </c>
      <c r="Y61" s="96">
        <f t="shared" si="9"/>
        <v>0</v>
      </c>
      <c r="Z61" s="96">
        <f t="shared" si="9"/>
        <v>0</v>
      </c>
      <c r="AA61" s="96">
        <f t="shared" si="9"/>
        <v>0</v>
      </c>
      <c r="AB61" s="96">
        <f t="shared" si="9"/>
        <v>0</v>
      </c>
      <c r="AC61" s="96">
        <f t="shared" si="9"/>
        <v>0</v>
      </c>
    </row>
    <row r="62" spans="1:29" s="268" customFormat="1" ht="12" customHeight="1" x14ac:dyDescent="0.2">
      <c r="A62" s="268" t="s">
        <v>303</v>
      </c>
      <c r="B62" s="569"/>
      <c r="C62" s="474"/>
      <c r="D62" s="474"/>
      <c r="E62" s="474"/>
      <c r="F62" s="474"/>
      <c r="G62" s="474"/>
      <c r="H62" s="474"/>
      <c r="I62" s="474"/>
      <c r="J62" s="474"/>
      <c r="K62" s="474"/>
      <c r="L62" s="475"/>
      <c r="N62" s="272"/>
      <c r="O62" s="99">
        <v>0</v>
      </c>
      <c r="P62" s="100">
        <f t="shared" si="7"/>
        <v>0</v>
      </c>
      <c r="Q62" s="100">
        <f t="shared" ref="Q62:AC62" si="10">P62*1.015</f>
        <v>0</v>
      </c>
      <c r="R62" s="100">
        <f t="shared" si="10"/>
        <v>0</v>
      </c>
      <c r="S62" s="100">
        <f t="shared" si="10"/>
        <v>0</v>
      </c>
      <c r="T62" s="100">
        <f t="shared" si="10"/>
        <v>0</v>
      </c>
      <c r="U62" s="100">
        <f t="shared" si="10"/>
        <v>0</v>
      </c>
      <c r="V62" s="96">
        <f t="shared" si="10"/>
        <v>0</v>
      </c>
      <c r="W62" s="96">
        <f t="shared" si="10"/>
        <v>0</v>
      </c>
      <c r="X62" s="96">
        <f t="shared" si="10"/>
        <v>0</v>
      </c>
      <c r="Y62" s="96">
        <f t="shared" si="10"/>
        <v>0</v>
      </c>
      <c r="Z62" s="96">
        <f t="shared" si="10"/>
        <v>0</v>
      </c>
      <c r="AA62" s="96">
        <f t="shared" si="10"/>
        <v>0</v>
      </c>
      <c r="AB62" s="96">
        <f t="shared" si="10"/>
        <v>0</v>
      </c>
      <c r="AC62" s="96">
        <f t="shared" si="10"/>
        <v>0</v>
      </c>
    </row>
    <row r="63" spans="1:29" s="268" customFormat="1" ht="12.75" x14ac:dyDescent="0.2">
      <c r="A63" s="23" t="s">
        <v>51</v>
      </c>
      <c r="B63" s="23"/>
      <c r="C63" s="23"/>
      <c r="N63" s="272"/>
      <c r="O63" s="27">
        <f>SUM(O59:O62)</f>
        <v>0</v>
      </c>
      <c r="P63" s="27">
        <f t="shared" ref="P63:U63" si="11">SUM(P59:P62)</f>
        <v>0</v>
      </c>
      <c r="Q63" s="27">
        <f t="shared" si="11"/>
        <v>0</v>
      </c>
      <c r="R63" s="27">
        <f t="shared" si="11"/>
        <v>0</v>
      </c>
      <c r="S63" s="27">
        <f t="shared" si="11"/>
        <v>0</v>
      </c>
      <c r="T63" s="27">
        <f t="shared" si="11"/>
        <v>0</v>
      </c>
      <c r="U63" s="27">
        <f t="shared" si="11"/>
        <v>0</v>
      </c>
      <c r="V63" s="27">
        <f>IF($B$11&gt;7,SUM(V59:V62),"")</f>
        <v>0</v>
      </c>
      <c r="W63" s="27">
        <f>IF($B$11&gt;8,SUM(W59:W62),"")</f>
        <v>0</v>
      </c>
      <c r="X63" s="27">
        <f>IF($B$11&gt;9,SUM(X59:X62),"")</f>
        <v>0</v>
      </c>
      <c r="Y63" s="27">
        <f>IF($B$11&gt;10,SUM(Y59:Y62),"")</f>
        <v>0</v>
      </c>
      <c r="Z63" s="27">
        <f>IF($B$11&gt;11,SUM(Z59:Z62),"")</f>
        <v>0</v>
      </c>
      <c r="AA63" s="27">
        <f>IF($B$11&gt;12,SUM(AA59:AA62),"")</f>
        <v>0</v>
      </c>
      <c r="AB63" s="27">
        <f>IF($B$11&gt;13,SUM(AB59:AB62),"")</f>
        <v>0</v>
      </c>
      <c r="AC63" s="27">
        <f>IF($B$11&gt;14,SUM(AC59:AC62),"")</f>
        <v>0</v>
      </c>
    </row>
    <row r="64" spans="1:29" s="268" customFormat="1" ht="12.75" x14ac:dyDescent="0.2">
      <c r="B64" s="23"/>
      <c r="C64" s="23"/>
      <c r="E64" s="269"/>
      <c r="N64" s="272"/>
      <c r="O64" s="269"/>
      <c r="P64" s="269"/>
      <c r="Q64" s="269"/>
      <c r="R64" s="269"/>
      <c r="S64" s="269"/>
      <c r="T64" s="269"/>
      <c r="U64" s="269"/>
      <c r="V64" s="31"/>
      <c r="W64" s="31"/>
      <c r="X64" s="31"/>
      <c r="Y64" s="31"/>
      <c r="Z64" s="31"/>
      <c r="AA64" s="7"/>
      <c r="AB64" s="7"/>
      <c r="AC64" s="7"/>
    </row>
    <row r="65" spans="1:29" s="23" customFormat="1" ht="12.75" x14ac:dyDescent="0.2">
      <c r="A65" s="35" t="s">
        <v>52</v>
      </c>
      <c r="N65" s="28"/>
      <c r="O65" s="27">
        <f t="shared" ref="O65:U65" si="12">O56+O45+O63</f>
        <v>0</v>
      </c>
      <c r="P65" s="27">
        <f t="shared" si="12"/>
        <v>0</v>
      </c>
      <c r="Q65" s="27">
        <f t="shared" si="12"/>
        <v>0</v>
      </c>
      <c r="R65" s="27">
        <f t="shared" si="12"/>
        <v>0</v>
      </c>
      <c r="S65" s="27">
        <f t="shared" si="12"/>
        <v>0</v>
      </c>
      <c r="T65" s="27">
        <f t="shared" si="12"/>
        <v>0</v>
      </c>
      <c r="U65" s="27">
        <f t="shared" si="12"/>
        <v>0</v>
      </c>
      <c r="V65" s="27">
        <f>IF($B$11&gt;7,V56+V45+V63,"")</f>
        <v>0</v>
      </c>
      <c r="W65" s="27">
        <f>IF($B$11&gt;8,W56+W45+W63,"")</f>
        <v>0</v>
      </c>
      <c r="X65" s="27">
        <f>IF($B$11&gt;9,X56+X45+X63,"")</f>
        <v>0</v>
      </c>
      <c r="Y65" s="27">
        <f>IF($B$11&gt;10,Y56+Y45+Y63,"")</f>
        <v>0</v>
      </c>
      <c r="Z65" s="27">
        <f>IF($B$11&gt;11,Z56+Z45+Z63,"")</f>
        <v>0</v>
      </c>
      <c r="AA65" s="27">
        <f>IF($B$11&gt;12,AA56+AA45+AA63,"")</f>
        <v>0</v>
      </c>
      <c r="AB65" s="27">
        <f>IF($B$11&gt;13,AB56+AB45+AB63,"")</f>
        <v>0</v>
      </c>
      <c r="AC65" s="27">
        <f>IF($B$11&gt;14,AC56+AC45+AC63,"")</f>
        <v>0</v>
      </c>
    </row>
    <row r="66" spans="1:29" x14ac:dyDescent="0.25">
      <c r="M66" s="268"/>
      <c r="N66" s="268"/>
      <c r="O66" s="269"/>
      <c r="P66" s="269"/>
      <c r="Q66" s="269"/>
      <c r="R66" s="269"/>
      <c r="S66" s="269"/>
      <c r="T66" s="269"/>
      <c r="U66" s="269"/>
      <c r="V66" s="314"/>
      <c r="W66" s="314"/>
      <c r="X66" s="314"/>
      <c r="Y66" s="314"/>
      <c r="Z66" s="314"/>
      <c r="AA66" s="268"/>
      <c r="AB66" s="268"/>
      <c r="AC66" s="268"/>
    </row>
    <row r="67" spans="1:29" ht="18" x14ac:dyDescent="0.25">
      <c r="A67" s="21" t="s">
        <v>53</v>
      </c>
      <c r="M67" s="268"/>
      <c r="N67" s="268"/>
      <c r="O67" s="272"/>
      <c r="P67" s="272"/>
      <c r="Q67" s="272"/>
      <c r="R67" s="272"/>
      <c r="S67" s="272"/>
      <c r="T67" s="272"/>
      <c r="U67" s="272"/>
      <c r="V67" s="272"/>
      <c r="W67" s="303"/>
      <c r="X67" s="303"/>
      <c r="Y67" s="303"/>
      <c r="Z67" s="303"/>
      <c r="AA67" s="268"/>
      <c r="AB67" s="268"/>
      <c r="AC67" s="268"/>
    </row>
    <row r="68" spans="1:29" ht="12.75" customHeight="1" x14ac:dyDescent="0.25">
      <c r="A68" s="23" t="s">
        <v>322</v>
      </c>
      <c r="M68" s="268"/>
      <c r="N68" s="268"/>
      <c r="O68" s="272"/>
      <c r="P68" s="272"/>
      <c r="Q68" s="272"/>
      <c r="R68" s="272"/>
      <c r="S68" s="272"/>
      <c r="T68" s="272"/>
      <c r="U68" s="272"/>
      <c r="V68" s="272"/>
      <c r="W68" s="303"/>
      <c r="X68" s="303"/>
      <c r="Y68" s="303"/>
      <c r="Z68" s="303"/>
      <c r="AA68" s="268"/>
      <c r="AB68" s="268"/>
      <c r="AC68" s="268"/>
    </row>
    <row r="69" spans="1:29" ht="12.75" customHeight="1" x14ac:dyDescent="0.25">
      <c r="B69" s="566" t="s">
        <v>54</v>
      </c>
      <c r="C69" s="567"/>
      <c r="D69" s="567"/>
      <c r="E69" s="567"/>
      <c r="F69" s="567"/>
      <c r="G69" s="567"/>
      <c r="H69" s="567"/>
      <c r="I69" s="567"/>
      <c r="J69" s="567"/>
      <c r="K69" s="567"/>
      <c r="L69" s="568"/>
      <c r="M69" s="268"/>
      <c r="N69" s="84">
        <v>0</v>
      </c>
      <c r="O69" s="85">
        <v>0</v>
      </c>
      <c r="P69" s="85">
        <f t="shared" ref="P69:AC69" si="13">O69*1.015</f>
        <v>0</v>
      </c>
      <c r="Q69" s="85">
        <f t="shared" si="13"/>
        <v>0</v>
      </c>
      <c r="R69" s="85">
        <f t="shared" si="13"/>
        <v>0</v>
      </c>
      <c r="S69" s="85">
        <f t="shared" si="13"/>
        <v>0</v>
      </c>
      <c r="T69" s="85">
        <f t="shared" si="13"/>
        <v>0</v>
      </c>
      <c r="U69" s="85">
        <f t="shared" si="13"/>
        <v>0</v>
      </c>
      <c r="V69" s="96">
        <f t="shared" si="13"/>
        <v>0</v>
      </c>
      <c r="W69" s="96">
        <f t="shared" si="13"/>
        <v>0</v>
      </c>
      <c r="X69" s="96">
        <f t="shared" si="13"/>
        <v>0</v>
      </c>
      <c r="Y69" s="96">
        <f t="shared" si="13"/>
        <v>0</v>
      </c>
      <c r="Z69" s="96">
        <f t="shared" si="13"/>
        <v>0</v>
      </c>
      <c r="AA69" s="96">
        <f t="shared" si="13"/>
        <v>0</v>
      </c>
      <c r="AB69" s="96">
        <f t="shared" si="13"/>
        <v>0</v>
      </c>
      <c r="AC69" s="96">
        <f t="shared" si="13"/>
        <v>0</v>
      </c>
    </row>
    <row r="70" spans="1:29" ht="12.75" customHeight="1" x14ac:dyDescent="0.25">
      <c r="B70" s="563" t="s">
        <v>55</v>
      </c>
      <c r="C70" s="564"/>
      <c r="D70" s="564"/>
      <c r="E70" s="564"/>
      <c r="F70" s="564"/>
      <c r="G70" s="564"/>
      <c r="H70" s="564"/>
      <c r="I70" s="564"/>
      <c r="J70" s="564"/>
      <c r="K70" s="564"/>
      <c r="L70" s="565"/>
      <c r="M70" s="268"/>
      <c r="N70" s="86">
        <v>0</v>
      </c>
      <c r="O70" s="87">
        <v>0</v>
      </c>
      <c r="P70" s="87">
        <f t="shared" ref="O70:AC83" si="14">O70*1.015</f>
        <v>0</v>
      </c>
      <c r="Q70" s="87">
        <f t="shared" si="14"/>
        <v>0</v>
      </c>
      <c r="R70" s="87">
        <f t="shared" si="14"/>
        <v>0</v>
      </c>
      <c r="S70" s="87">
        <f t="shared" si="14"/>
        <v>0</v>
      </c>
      <c r="T70" s="87">
        <f t="shared" si="14"/>
        <v>0</v>
      </c>
      <c r="U70" s="87">
        <f t="shared" si="14"/>
        <v>0</v>
      </c>
      <c r="V70" s="96">
        <f t="shared" si="14"/>
        <v>0</v>
      </c>
      <c r="W70" s="96">
        <f t="shared" si="14"/>
        <v>0</v>
      </c>
      <c r="X70" s="96">
        <f t="shared" si="14"/>
        <v>0</v>
      </c>
      <c r="Y70" s="96">
        <f t="shared" si="14"/>
        <v>0</v>
      </c>
      <c r="Z70" s="96">
        <f t="shared" si="14"/>
        <v>0</v>
      </c>
      <c r="AA70" s="96">
        <f t="shared" si="14"/>
        <v>0</v>
      </c>
      <c r="AB70" s="96">
        <f t="shared" si="14"/>
        <v>0</v>
      </c>
      <c r="AC70" s="96">
        <f t="shared" si="14"/>
        <v>0</v>
      </c>
    </row>
    <row r="71" spans="1:29" ht="12.75" customHeight="1" x14ac:dyDescent="0.25">
      <c r="B71" s="570" t="s">
        <v>56</v>
      </c>
      <c r="C71" s="571"/>
      <c r="D71" s="571"/>
      <c r="E71" s="571"/>
      <c r="F71" s="571"/>
      <c r="G71" s="571"/>
      <c r="H71" s="571"/>
      <c r="I71" s="571"/>
      <c r="J71" s="571"/>
      <c r="K71" s="571"/>
      <c r="L71" s="572"/>
      <c r="M71" s="268"/>
      <c r="N71" s="86">
        <v>0</v>
      </c>
      <c r="O71" s="87">
        <v>0</v>
      </c>
      <c r="P71" s="87">
        <f t="shared" ref="P71:AC71" si="15">O71*1.015</f>
        <v>0</v>
      </c>
      <c r="Q71" s="87">
        <f t="shared" si="15"/>
        <v>0</v>
      </c>
      <c r="R71" s="87">
        <f t="shared" si="15"/>
        <v>0</v>
      </c>
      <c r="S71" s="87">
        <f t="shared" si="15"/>
        <v>0</v>
      </c>
      <c r="T71" s="87">
        <f t="shared" si="15"/>
        <v>0</v>
      </c>
      <c r="U71" s="87">
        <f t="shared" si="15"/>
        <v>0</v>
      </c>
      <c r="V71" s="96">
        <f t="shared" si="15"/>
        <v>0</v>
      </c>
      <c r="W71" s="96">
        <f t="shared" si="15"/>
        <v>0</v>
      </c>
      <c r="X71" s="96">
        <f t="shared" si="15"/>
        <v>0</v>
      </c>
      <c r="Y71" s="96">
        <f t="shared" si="15"/>
        <v>0</v>
      </c>
      <c r="Z71" s="96">
        <f t="shared" si="15"/>
        <v>0</v>
      </c>
      <c r="AA71" s="96">
        <f t="shared" si="15"/>
        <v>0</v>
      </c>
      <c r="AB71" s="96">
        <f t="shared" si="15"/>
        <v>0</v>
      </c>
      <c r="AC71" s="96">
        <f t="shared" si="15"/>
        <v>0</v>
      </c>
    </row>
    <row r="72" spans="1:29" ht="12.75" customHeight="1" x14ac:dyDescent="0.25">
      <c r="B72" s="570" t="s">
        <v>57</v>
      </c>
      <c r="C72" s="471"/>
      <c r="D72" s="471"/>
      <c r="E72" s="471"/>
      <c r="F72" s="471"/>
      <c r="G72" s="471"/>
      <c r="H72" s="471"/>
      <c r="I72" s="471"/>
      <c r="J72" s="471"/>
      <c r="K72" s="471"/>
      <c r="L72" s="472"/>
      <c r="M72" s="268"/>
      <c r="N72" s="86">
        <v>0</v>
      </c>
      <c r="O72" s="87">
        <f t="shared" si="14"/>
        <v>0</v>
      </c>
      <c r="P72" s="87">
        <f t="shared" ref="P72:AC72" si="16">O72*1.015</f>
        <v>0</v>
      </c>
      <c r="Q72" s="87">
        <f t="shared" si="16"/>
        <v>0</v>
      </c>
      <c r="R72" s="87">
        <f t="shared" si="16"/>
        <v>0</v>
      </c>
      <c r="S72" s="87">
        <f t="shared" si="16"/>
        <v>0</v>
      </c>
      <c r="T72" s="87">
        <f t="shared" si="16"/>
        <v>0</v>
      </c>
      <c r="U72" s="87">
        <f t="shared" si="16"/>
        <v>0</v>
      </c>
      <c r="V72" s="96">
        <f t="shared" si="16"/>
        <v>0</v>
      </c>
      <c r="W72" s="96">
        <f t="shared" si="16"/>
        <v>0</v>
      </c>
      <c r="X72" s="96">
        <f t="shared" si="16"/>
        <v>0</v>
      </c>
      <c r="Y72" s="96">
        <f t="shared" si="16"/>
        <v>0</v>
      </c>
      <c r="Z72" s="96">
        <f t="shared" si="16"/>
        <v>0</v>
      </c>
      <c r="AA72" s="96">
        <f t="shared" si="16"/>
        <v>0</v>
      </c>
      <c r="AB72" s="96">
        <f t="shared" si="16"/>
        <v>0</v>
      </c>
      <c r="AC72" s="96">
        <f t="shared" si="16"/>
        <v>0</v>
      </c>
    </row>
    <row r="73" spans="1:29" ht="12.75" customHeight="1" x14ac:dyDescent="0.25">
      <c r="A73" s="255"/>
      <c r="B73" s="570" t="s">
        <v>58</v>
      </c>
      <c r="C73" s="571"/>
      <c r="D73" s="571"/>
      <c r="E73" s="571"/>
      <c r="F73" s="571"/>
      <c r="G73" s="571"/>
      <c r="H73" s="571"/>
      <c r="I73" s="571"/>
      <c r="J73" s="571"/>
      <c r="K73" s="571"/>
      <c r="L73" s="572"/>
      <c r="M73" s="268"/>
      <c r="N73" s="86">
        <v>0</v>
      </c>
      <c r="O73" s="87">
        <v>0</v>
      </c>
      <c r="P73" s="87">
        <f t="shared" ref="P73:AC73" si="17">O73*1.015</f>
        <v>0</v>
      </c>
      <c r="Q73" s="87">
        <f t="shared" si="17"/>
        <v>0</v>
      </c>
      <c r="R73" s="87">
        <f t="shared" si="17"/>
        <v>0</v>
      </c>
      <c r="S73" s="87">
        <f t="shared" si="17"/>
        <v>0</v>
      </c>
      <c r="T73" s="87">
        <f t="shared" si="17"/>
        <v>0</v>
      </c>
      <c r="U73" s="87">
        <f t="shared" si="17"/>
        <v>0</v>
      </c>
      <c r="V73" s="96">
        <f t="shared" si="17"/>
        <v>0</v>
      </c>
      <c r="W73" s="96">
        <f t="shared" si="17"/>
        <v>0</v>
      </c>
      <c r="X73" s="96">
        <f t="shared" si="17"/>
        <v>0</v>
      </c>
      <c r="Y73" s="96">
        <f t="shared" si="17"/>
        <v>0</v>
      </c>
      <c r="Z73" s="96">
        <f t="shared" si="17"/>
        <v>0</v>
      </c>
      <c r="AA73" s="96">
        <f t="shared" si="17"/>
        <v>0</v>
      </c>
      <c r="AB73" s="96">
        <f t="shared" si="17"/>
        <v>0</v>
      </c>
      <c r="AC73" s="96">
        <f t="shared" si="17"/>
        <v>0</v>
      </c>
    </row>
    <row r="74" spans="1:29" ht="12.75" customHeight="1" x14ac:dyDescent="0.25">
      <c r="B74" s="570" t="s">
        <v>59</v>
      </c>
      <c r="C74" s="571"/>
      <c r="D74" s="571"/>
      <c r="E74" s="571"/>
      <c r="F74" s="571"/>
      <c r="G74" s="571"/>
      <c r="H74" s="571"/>
      <c r="I74" s="571"/>
      <c r="J74" s="571"/>
      <c r="K74" s="571"/>
      <c r="L74" s="572"/>
      <c r="M74" s="268"/>
      <c r="N74" s="86">
        <v>0</v>
      </c>
      <c r="O74" s="87">
        <f t="shared" si="14"/>
        <v>0</v>
      </c>
      <c r="P74" s="87">
        <f t="shared" ref="P74:AC74" si="18">O74*1.015</f>
        <v>0</v>
      </c>
      <c r="Q74" s="87">
        <f t="shared" si="18"/>
        <v>0</v>
      </c>
      <c r="R74" s="87">
        <f t="shared" si="18"/>
        <v>0</v>
      </c>
      <c r="S74" s="87">
        <f t="shared" si="18"/>
        <v>0</v>
      </c>
      <c r="T74" s="87">
        <f t="shared" si="18"/>
        <v>0</v>
      </c>
      <c r="U74" s="87">
        <f t="shared" si="18"/>
        <v>0</v>
      </c>
      <c r="V74" s="96">
        <f t="shared" si="18"/>
        <v>0</v>
      </c>
      <c r="W74" s="96">
        <f t="shared" si="18"/>
        <v>0</v>
      </c>
      <c r="X74" s="96">
        <f t="shared" si="18"/>
        <v>0</v>
      </c>
      <c r="Y74" s="96">
        <f t="shared" si="18"/>
        <v>0</v>
      </c>
      <c r="Z74" s="96">
        <f t="shared" si="18"/>
        <v>0</v>
      </c>
      <c r="AA74" s="96">
        <f t="shared" si="18"/>
        <v>0</v>
      </c>
      <c r="AB74" s="96">
        <f t="shared" si="18"/>
        <v>0</v>
      </c>
      <c r="AC74" s="96">
        <f t="shared" si="18"/>
        <v>0</v>
      </c>
    </row>
    <row r="75" spans="1:29" ht="12.75" customHeight="1" x14ac:dyDescent="0.25">
      <c r="B75" s="563" t="s">
        <v>60</v>
      </c>
      <c r="C75" s="564"/>
      <c r="D75" s="564"/>
      <c r="E75" s="564"/>
      <c r="F75" s="564"/>
      <c r="G75" s="564"/>
      <c r="H75" s="564"/>
      <c r="I75" s="564"/>
      <c r="J75" s="564"/>
      <c r="K75" s="564"/>
      <c r="L75" s="565"/>
      <c r="M75" s="268"/>
      <c r="N75" s="86">
        <v>0</v>
      </c>
      <c r="O75" s="87">
        <f t="shared" si="14"/>
        <v>0</v>
      </c>
      <c r="P75" s="87">
        <f t="shared" ref="P75:AC75" si="19">O75*1.015</f>
        <v>0</v>
      </c>
      <c r="Q75" s="87">
        <f t="shared" si="19"/>
        <v>0</v>
      </c>
      <c r="R75" s="87">
        <f t="shared" si="19"/>
        <v>0</v>
      </c>
      <c r="S75" s="87">
        <f t="shared" si="19"/>
        <v>0</v>
      </c>
      <c r="T75" s="87">
        <f t="shared" si="19"/>
        <v>0</v>
      </c>
      <c r="U75" s="87">
        <f t="shared" si="19"/>
        <v>0</v>
      </c>
      <c r="V75" s="96">
        <f t="shared" si="19"/>
        <v>0</v>
      </c>
      <c r="W75" s="96">
        <f t="shared" si="19"/>
        <v>0</v>
      </c>
      <c r="X75" s="96">
        <f t="shared" si="19"/>
        <v>0</v>
      </c>
      <c r="Y75" s="96">
        <f t="shared" si="19"/>
        <v>0</v>
      </c>
      <c r="Z75" s="96">
        <f t="shared" si="19"/>
        <v>0</v>
      </c>
      <c r="AA75" s="96">
        <f t="shared" si="19"/>
        <v>0</v>
      </c>
      <c r="AB75" s="96">
        <f t="shared" si="19"/>
        <v>0</v>
      </c>
      <c r="AC75" s="96">
        <f t="shared" si="19"/>
        <v>0</v>
      </c>
    </row>
    <row r="76" spans="1:29" ht="12.75" customHeight="1" x14ac:dyDescent="0.25">
      <c r="B76" s="563" t="s">
        <v>61</v>
      </c>
      <c r="C76" s="471"/>
      <c r="D76" s="471"/>
      <c r="E76" s="471"/>
      <c r="F76" s="471"/>
      <c r="G76" s="471"/>
      <c r="H76" s="471"/>
      <c r="I76" s="471"/>
      <c r="J76" s="471"/>
      <c r="K76" s="471"/>
      <c r="L76" s="472"/>
      <c r="M76" s="268"/>
      <c r="N76" s="86">
        <v>0</v>
      </c>
      <c r="O76" s="87">
        <f t="shared" si="14"/>
        <v>0</v>
      </c>
      <c r="P76" s="87">
        <f t="shared" ref="P76:AC76" si="20">O76*1.015</f>
        <v>0</v>
      </c>
      <c r="Q76" s="87">
        <f t="shared" si="20"/>
        <v>0</v>
      </c>
      <c r="R76" s="87">
        <f t="shared" si="20"/>
        <v>0</v>
      </c>
      <c r="S76" s="87">
        <f t="shared" si="20"/>
        <v>0</v>
      </c>
      <c r="T76" s="87">
        <f t="shared" si="20"/>
        <v>0</v>
      </c>
      <c r="U76" s="87">
        <f t="shared" si="20"/>
        <v>0</v>
      </c>
      <c r="V76" s="96">
        <f t="shared" si="20"/>
        <v>0</v>
      </c>
      <c r="W76" s="96">
        <f t="shared" si="20"/>
        <v>0</v>
      </c>
      <c r="X76" s="96">
        <f t="shared" si="20"/>
        <v>0</v>
      </c>
      <c r="Y76" s="96">
        <f t="shared" si="20"/>
        <v>0</v>
      </c>
      <c r="Z76" s="96">
        <f t="shared" si="20"/>
        <v>0</v>
      </c>
      <c r="AA76" s="96">
        <f t="shared" si="20"/>
        <v>0</v>
      </c>
      <c r="AB76" s="96">
        <f t="shared" si="20"/>
        <v>0</v>
      </c>
      <c r="AC76" s="96">
        <f t="shared" si="20"/>
        <v>0</v>
      </c>
    </row>
    <row r="77" spans="1:29" ht="12.75" customHeight="1" x14ac:dyDescent="0.25">
      <c r="B77" s="563" t="s">
        <v>62</v>
      </c>
      <c r="C77" s="564"/>
      <c r="D77" s="564"/>
      <c r="E77" s="564"/>
      <c r="F77" s="564"/>
      <c r="G77" s="564"/>
      <c r="H77" s="564"/>
      <c r="I77" s="564"/>
      <c r="J77" s="564"/>
      <c r="K77" s="564"/>
      <c r="L77" s="565"/>
      <c r="M77" s="268"/>
      <c r="N77" s="86">
        <v>0</v>
      </c>
      <c r="O77" s="87">
        <v>0</v>
      </c>
      <c r="P77" s="87">
        <f t="shared" ref="P77:AC77" si="21">O77*1.015</f>
        <v>0</v>
      </c>
      <c r="Q77" s="87">
        <f t="shared" si="21"/>
        <v>0</v>
      </c>
      <c r="R77" s="87">
        <f t="shared" si="21"/>
        <v>0</v>
      </c>
      <c r="S77" s="87">
        <f t="shared" si="21"/>
        <v>0</v>
      </c>
      <c r="T77" s="87">
        <f t="shared" si="21"/>
        <v>0</v>
      </c>
      <c r="U77" s="87">
        <f t="shared" si="21"/>
        <v>0</v>
      </c>
      <c r="V77" s="96">
        <f t="shared" si="21"/>
        <v>0</v>
      </c>
      <c r="W77" s="96">
        <f t="shared" si="21"/>
        <v>0</v>
      </c>
      <c r="X77" s="96">
        <f t="shared" si="21"/>
        <v>0</v>
      </c>
      <c r="Y77" s="96">
        <f t="shared" si="21"/>
        <v>0</v>
      </c>
      <c r="Z77" s="96">
        <f t="shared" si="21"/>
        <v>0</v>
      </c>
      <c r="AA77" s="96">
        <f t="shared" si="21"/>
        <v>0</v>
      </c>
      <c r="AB77" s="96">
        <f t="shared" si="21"/>
        <v>0</v>
      </c>
      <c r="AC77" s="96">
        <f t="shared" si="21"/>
        <v>0</v>
      </c>
    </row>
    <row r="78" spans="1:29" ht="12.75" customHeight="1" x14ac:dyDescent="0.25">
      <c r="B78" s="563" t="s">
        <v>63</v>
      </c>
      <c r="C78" s="564"/>
      <c r="D78" s="564"/>
      <c r="E78" s="564"/>
      <c r="F78" s="564"/>
      <c r="G78" s="564"/>
      <c r="H78" s="564"/>
      <c r="I78" s="564"/>
      <c r="J78" s="564"/>
      <c r="K78" s="564"/>
      <c r="L78" s="565"/>
      <c r="M78" s="268"/>
      <c r="N78" s="86">
        <v>0</v>
      </c>
      <c r="O78" s="87">
        <f t="shared" si="14"/>
        <v>0</v>
      </c>
      <c r="P78" s="87">
        <f t="shared" ref="P78:AC78" si="22">O78*1.015</f>
        <v>0</v>
      </c>
      <c r="Q78" s="87">
        <f t="shared" si="22"/>
        <v>0</v>
      </c>
      <c r="R78" s="87">
        <f t="shared" si="22"/>
        <v>0</v>
      </c>
      <c r="S78" s="87">
        <f t="shared" si="22"/>
        <v>0</v>
      </c>
      <c r="T78" s="87">
        <f t="shared" si="22"/>
        <v>0</v>
      </c>
      <c r="U78" s="87">
        <f t="shared" si="22"/>
        <v>0</v>
      </c>
      <c r="V78" s="96">
        <f t="shared" si="22"/>
        <v>0</v>
      </c>
      <c r="W78" s="96">
        <f t="shared" si="22"/>
        <v>0</v>
      </c>
      <c r="X78" s="96">
        <f t="shared" si="22"/>
        <v>0</v>
      </c>
      <c r="Y78" s="96">
        <f t="shared" si="22"/>
        <v>0</v>
      </c>
      <c r="Z78" s="96">
        <f t="shared" si="22"/>
        <v>0</v>
      </c>
      <c r="AA78" s="96">
        <f t="shared" si="22"/>
        <v>0</v>
      </c>
      <c r="AB78" s="96">
        <f t="shared" si="22"/>
        <v>0</v>
      </c>
      <c r="AC78" s="96">
        <f t="shared" si="22"/>
        <v>0</v>
      </c>
    </row>
    <row r="79" spans="1:29" ht="12.75" customHeight="1" x14ac:dyDescent="0.25">
      <c r="B79" s="570" t="s">
        <v>64</v>
      </c>
      <c r="C79" s="571"/>
      <c r="D79" s="571"/>
      <c r="E79" s="571"/>
      <c r="F79" s="571"/>
      <c r="G79" s="571"/>
      <c r="H79" s="571"/>
      <c r="I79" s="571"/>
      <c r="J79" s="571"/>
      <c r="K79" s="571"/>
      <c r="L79" s="572"/>
      <c r="M79" s="268"/>
      <c r="N79" s="86">
        <v>0</v>
      </c>
      <c r="O79" s="87">
        <v>0</v>
      </c>
      <c r="P79" s="87">
        <f t="shared" ref="P79:AC79" si="23">O79*1.015</f>
        <v>0</v>
      </c>
      <c r="Q79" s="87">
        <f t="shared" si="23"/>
        <v>0</v>
      </c>
      <c r="R79" s="87">
        <f t="shared" si="23"/>
        <v>0</v>
      </c>
      <c r="S79" s="87">
        <f t="shared" si="23"/>
        <v>0</v>
      </c>
      <c r="T79" s="87">
        <f t="shared" si="23"/>
        <v>0</v>
      </c>
      <c r="U79" s="87">
        <f t="shared" si="23"/>
        <v>0</v>
      </c>
      <c r="V79" s="96">
        <f t="shared" si="23"/>
        <v>0</v>
      </c>
      <c r="W79" s="96">
        <f t="shared" si="23"/>
        <v>0</v>
      </c>
      <c r="X79" s="96">
        <f t="shared" si="23"/>
        <v>0</v>
      </c>
      <c r="Y79" s="96">
        <f t="shared" si="23"/>
        <v>0</v>
      </c>
      <c r="Z79" s="96">
        <f t="shared" si="23"/>
        <v>0</v>
      </c>
      <c r="AA79" s="96">
        <f t="shared" si="23"/>
        <v>0</v>
      </c>
      <c r="AB79" s="96">
        <f t="shared" si="23"/>
        <v>0</v>
      </c>
      <c r="AC79" s="96">
        <f t="shared" si="23"/>
        <v>0</v>
      </c>
    </row>
    <row r="80" spans="1:29" ht="12.75" customHeight="1" x14ac:dyDescent="0.25">
      <c r="B80" s="563" t="s">
        <v>65</v>
      </c>
      <c r="C80" s="564"/>
      <c r="D80" s="564"/>
      <c r="E80" s="564"/>
      <c r="F80" s="564"/>
      <c r="G80" s="564"/>
      <c r="H80" s="564"/>
      <c r="I80" s="564"/>
      <c r="J80" s="564"/>
      <c r="K80" s="564"/>
      <c r="L80" s="565"/>
      <c r="M80" s="268"/>
      <c r="N80" s="86">
        <v>0</v>
      </c>
      <c r="O80" s="87">
        <f t="shared" si="14"/>
        <v>0</v>
      </c>
      <c r="P80" s="87">
        <f t="shared" ref="P80:AC80" si="24">O80*1.015</f>
        <v>0</v>
      </c>
      <c r="Q80" s="87">
        <f t="shared" si="24"/>
        <v>0</v>
      </c>
      <c r="R80" s="87">
        <f t="shared" si="24"/>
        <v>0</v>
      </c>
      <c r="S80" s="87">
        <f t="shared" si="24"/>
        <v>0</v>
      </c>
      <c r="T80" s="87">
        <f t="shared" si="24"/>
        <v>0</v>
      </c>
      <c r="U80" s="87">
        <f t="shared" si="24"/>
        <v>0</v>
      </c>
      <c r="V80" s="96">
        <f t="shared" si="24"/>
        <v>0</v>
      </c>
      <c r="W80" s="96">
        <f t="shared" si="24"/>
        <v>0</v>
      </c>
      <c r="X80" s="96">
        <f t="shared" si="24"/>
        <v>0</v>
      </c>
      <c r="Y80" s="96">
        <f t="shared" si="24"/>
        <v>0</v>
      </c>
      <c r="Z80" s="96">
        <f t="shared" si="24"/>
        <v>0</v>
      </c>
      <c r="AA80" s="96">
        <f t="shared" si="24"/>
        <v>0</v>
      </c>
      <c r="AB80" s="96">
        <f t="shared" si="24"/>
        <v>0</v>
      </c>
      <c r="AC80" s="96">
        <f t="shared" si="24"/>
        <v>0</v>
      </c>
    </row>
    <row r="81" spans="1:32" ht="12.75" customHeight="1" x14ac:dyDescent="0.25">
      <c r="B81" s="102" t="s">
        <v>311</v>
      </c>
      <c r="C81" s="103"/>
      <c r="D81" s="103"/>
      <c r="E81" s="103"/>
      <c r="F81" s="103"/>
      <c r="G81" s="103"/>
      <c r="H81" s="103"/>
      <c r="I81" s="103"/>
      <c r="J81" s="103"/>
      <c r="K81" s="103"/>
      <c r="L81" s="104"/>
      <c r="M81" s="268"/>
      <c r="N81" s="86">
        <v>0</v>
      </c>
      <c r="O81" s="87">
        <f t="shared" si="14"/>
        <v>0</v>
      </c>
      <c r="P81" s="87">
        <f t="shared" ref="P81:AC81" si="25">O81*1.015</f>
        <v>0</v>
      </c>
      <c r="Q81" s="87">
        <f t="shared" si="25"/>
        <v>0</v>
      </c>
      <c r="R81" s="87">
        <f t="shared" si="25"/>
        <v>0</v>
      </c>
      <c r="S81" s="87">
        <f t="shared" si="25"/>
        <v>0</v>
      </c>
      <c r="T81" s="87">
        <f t="shared" si="25"/>
        <v>0</v>
      </c>
      <c r="U81" s="87">
        <f t="shared" si="25"/>
        <v>0</v>
      </c>
      <c r="V81" s="96">
        <f t="shared" si="25"/>
        <v>0</v>
      </c>
      <c r="W81" s="96">
        <f t="shared" si="25"/>
        <v>0</v>
      </c>
      <c r="X81" s="96">
        <f t="shared" si="25"/>
        <v>0</v>
      </c>
      <c r="Y81" s="96">
        <f t="shared" si="25"/>
        <v>0</v>
      </c>
      <c r="Z81" s="96">
        <f t="shared" si="25"/>
        <v>0</v>
      </c>
      <c r="AA81" s="96">
        <f t="shared" si="25"/>
        <v>0</v>
      </c>
      <c r="AB81" s="96">
        <f t="shared" si="25"/>
        <v>0</v>
      </c>
      <c r="AC81" s="96">
        <f t="shared" si="25"/>
        <v>0</v>
      </c>
    </row>
    <row r="82" spans="1:32" ht="12.75" customHeight="1" x14ac:dyDescent="0.25">
      <c r="B82" s="102"/>
      <c r="C82" s="103"/>
      <c r="D82" s="103"/>
      <c r="E82" s="103"/>
      <c r="F82" s="103"/>
      <c r="G82" s="103"/>
      <c r="H82" s="103"/>
      <c r="I82" s="103"/>
      <c r="J82" s="103"/>
      <c r="K82" s="103"/>
      <c r="L82" s="104"/>
      <c r="M82" s="268"/>
      <c r="N82" s="86">
        <v>0</v>
      </c>
      <c r="O82" s="87">
        <f t="shared" si="14"/>
        <v>0</v>
      </c>
      <c r="P82" s="87">
        <f t="shared" ref="P82:AC82" si="26">O82*1.015</f>
        <v>0</v>
      </c>
      <c r="Q82" s="87">
        <f t="shared" si="26"/>
        <v>0</v>
      </c>
      <c r="R82" s="87">
        <f t="shared" si="26"/>
        <v>0</v>
      </c>
      <c r="S82" s="87">
        <f t="shared" si="26"/>
        <v>0</v>
      </c>
      <c r="T82" s="87">
        <f t="shared" si="26"/>
        <v>0</v>
      </c>
      <c r="U82" s="87">
        <f t="shared" si="26"/>
        <v>0</v>
      </c>
      <c r="V82" s="96">
        <f t="shared" si="26"/>
        <v>0</v>
      </c>
      <c r="W82" s="96">
        <f t="shared" si="26"/>
        <v>0</v>
      </c>
      <c r="X82" s="96">
        <f t="shared" si="26"/>
        <v>0</v>
      </c>
      <c r="Y82" s="96">
        <f t="shared" si="26"/>
        <v>0</v>
      </c>
      <c r="Z82" s="96">
        <f t="shared" si="26"/>
        <v>0</v>
      </c>
      <c r="AA82" s="96">
        <f t="shared" si="26"/>
        <v>0</v>
      </c>
      <c r="AB82" s="96">
        <f t="shared" si="26"/>
        <v>0</v>
      </c>
      <c r="AC82" s="96">
        <f t="shared" si="26"/>
        <v>0</v>
      </c>
    </row>
    <row r="83" spans="1:32" ht="12.75" customHeight="1" x14ac:dyDescent="0.25">
      <c r="B83" s="585"/>
      <c r="C83" s="586"/>
      <c r="D83" s="586"/>
      <c r="E83" s="586"/>
      <c r="F83" s="586"/>
      <c r="G83" s="586"/>
      <c r="H83" s="586"/>
      <c r="I83" s="586"/>
      <c r="J83" s="586"/>
      <c r="K83" s="586"/>
      <c r="L83" s="587"/>
      <c r="M83" s="255"/>
      <c r="N83" s="315">
        <v>0</v>
      </c>
      <c r="O83" s="316">
        <f t="shared" si="14"/>
        <v>0</v>
      </c>
      <c r="P83" s="316">
        <f t="shared" ref="P83:AC83" si="27">O83*1.015</f>
        <v>0</v>
      </c>
      <c r="Q83" s="316">
        <f t="shared" si="27"/>
        <v>0</v>
      </c>
      <c r="R83" s="316">
        <f t="shared" si="27"/>
        <v>0</v>
      </c>
      <c r="S83" s="316">
        <f t="shared" si="27"/>
        <v>0</v>
      </c>
      <c r="T83" s="316">
        <f t="shared" si="27"/>
        <v>0</v>
      </c>
      <c r="U83" s="316">
        <f t="shared" si="27"/>
        <v>0</v>
      </c>
      <c r="V83" s="31">
        <f t="shared" si="27"/>
        <v>0</v>
      </c>
      <c r="W83" s="31">
        <f t="shared" si="27"/>
        <v>0</v>
      </c>
      <c r="X83" s="31">
        <f t="shared" si="27"/>
        <v>0</v>
      </c>
      <c r="Y83" s="31">
        <f t="shared" si="27"/>
        <v>0</v>
      </c>
      <c r="Z83" s="31">
        <f t="shared" si="27"/>
        <v>0</v>
      </c>
      <c r="AA83" s="31">
        <f t="shared" si="27"/>
        <v>0</v>
      </c>
      <c r="AB83" s="31">
        <f t="shared" si="27"/>
        <v>0</v>
      </c>
      <c r="AC83" s="31">
        <f t="shared" si="27"/>
        <v>0</v>
      </c>
    </row>
    <row r="84" spans="1:32" s="23" customFormat="1" ht="12.75" customHeight="1" x14ac:dyDescent="0.2">
      <c r="A84" s="23" t="s">
        <v>323</v>
      </c>
      <c r="C84" s="28"/>
      <c r="D84" s="28"/>
      <c r="E84" s="28"/>
      <c r="F84" s="28"/>
      <c r="G84" s="28"/>
      <c r="H84" s="28"/>
      <c r="I84" s="28"/>
      <c r="J84" s="28"/>
      <c r="K84" s="28"/>
      <c r="L84" s="317"/>
      <c r="N84" s="27">
        <f>SUM(N69:N83)</f>
        <v>0</v>
      </c>
      <c r="O84" s="27">
        <f t="shared" ref="O84:U84" si="28">SUM(O69:O83)</f>
        <v>0</v>
      </c>
      <c r="P84" s="27">
        <f t="shared" si="28"/>
        <v>0</v>
      </c>
      <c r="Q84" s="27">
        <f t="shared" si="28"/>
        <v>0</v>
      </c>
      <c r="R84" s="27">
        <f t="shared" si="28"/>
        <v>0</v>
      </c>
      <c r="S84" s="27">
        <f t="shared" si="28"/>
        <v>0</v>
      </c>
      <c r="T84" s="27">
        <f t="shared" si="28"/>
        <v>0</v>
      </c>
      <c r="U84" s="27">
        <f t="shared" si="28"/>
        <v>0</v>
      </c>
      <c r="V84" s="27">
        <f>IF($B$11&gt;7,SUM(V69:V83),"")</f>
        <v>0</v>
      </c>
      <c r="W84" s="27">
        <f>IF($B$11&gt;8,SUM(W69:W83),"")</f>
        <v>0</v>
      </c>
      <c r="X84" s="27">
        <f>IF($B$11&gt;9,SUM(X69:X83),"")</f>
        <v>0</v>
      </c>
      <c r="Y84" s="27">
        <f>IF($B$11&gt;10,SUM(Y69:Y83),"")</f>
        <v>0</v>
      </c>
      <c r="Z84" s="27">
        <f>IF($B$11&gt;11,SUM(Z69:Z83),"")</f>
        <v>0</v>
      </c>
      <c r="AA84" s="27">
        <f>IF($B$11&gt;12,SUM(AA69:AA83),"")</f>
        <v>0</v>
      </c>
      <c r="AB84" s="27">
        <f>IF($B$11&gt;13,SUM(AB69:AB83),"")</f>
        <v>0</v>
      </c>
      <c r="AC84" s="27">
        <f>IF($B$11&gt;14,SUM(AC69:AC83),"")</f>
        <v>0</v>
      </c>
    </row>
    <row r="85" spans="1:32" s="23" customFormat="1" ht="12.75" customHeight="1" x14ac:dyDescent="0.2">
      <c r="C85" s="28"/>
      <c r="D85" s="28"/>
      <c r="E85" s="28"/>
      <c r="F85" s="28"/>
      <c r="G85" s="28"/>
      <c r="H85" s="28"/>
      <c r="I85" s="28"/>
      <c r="J85" s="28"/>
      <c r="K85" s="28"/>
      <c r="L85" s="317"/>
      <c r="N85" s="27"/>
      <c r="O85" s="27"/>
      <c r="P85" s="27"/>
      <c r="Q85" s="27"/>
      <c r="R85" s="27"/>
      <c r="S85" s="27"/>
      <c r="T85" s="27"/>
      <c r="U85" s="27"/>
      <c r="V85" s="27"/>
      <c r="W85" s="27"/>
      <c r="X85" s="27"/>
      <c r="Y85" s="27"/>
      <c r="Z85" s="27"/>
      <c r="AA85" s="27"/>
      <c r="AB85" s="27"/>
      <c r="AC85" s="27"/>
    </row>
    <row r="86" spans="1:32" s="23" customFormat="1" ht="12.75" customHeight="1" x14ac:dyDescent="0.25">
      <c r="B86" s="10" t="s">
        <v>66</v>
      </c>
      <c r="C86" s="28"/>
      <c r="D86" s="28"/>
      <c r="E86" s="10"/>
      <c r="F86" s="28"/>
      <c r="G86" s="28"/>
      <c r="H86" s="28"/>
      <c r="I86" s="28"/>
      <c r="J86" s="318"/>
      <c r="K86" s="28"/>
      <c r="L86" s="28"/>
      <c r="N86" s="28"/>
      <c r="O86" s="28"/>
      <c r="P86" s="28"/>
      <c r="Q86" s="28"/>
      <c r="R86" s="28"/>
      <c r="S86" s="28"/>
      <c r="T86" s="28"/>
      <c r="U86" s="28"/>
      <c r="V86" s="28"/>
      <c r="W86" s="262"/>
      <c r="X86" s="262"/>
      <c r="Y86" s="262"/>
      <c r="Z86" s="262"/>
      <c r="AA86" s="27"/>
      <c r="AB86" s="27"/>
      <c r="AC86" s="27"/>
    </row>
    <row r="87" spans="1:32" ht="12.75" customHeight="1" x14ac:dyDescent="0.25">
      <c r="A87" s="7" t="s">
        <v>331</v>
      </c>
      <c r="B87" s="588">
        <f>B11</f>
        <v>15</v>
      </c>
      <c r="C87" s="449"/>
      <c r="M87" s="272"/>
      <c r="N87" s="269"/>
      <c r="O87" s="31">
        <f t="shared" ref="O87:U87" si="29">$N$23/$B$11</f>
        <v>0</v>
      </c>
      <c r="P87" s="31">
        <f t="shared" si="29"/>
        <v>0</v>
      </c>
      <c r="Q87" s="31">
        <f t="shared" si="29"/>
        <v>0</v>
      </c>
      <c r="R87" s="31">
        <f t="shared" si="29"/>
        <v>0</v>
      </c>
      <c r="S87" s="31">
        <f t="shared" si="29"/>
        <v>0</v>
      </c>
      <c r="T87" s="31">
        <f t="shared" si="29"/>
        <v>0</v>
      </c>
      <c r="U87" s="31">
        <f t="shared" si="29"/>
        <v>0</v>
      </c>
      <c r="V87" s="31">
        <f>IF($B$11&gt;7,$N$23/$B$11,"")</f>
        <v>0</v>
      </c>
      <c r="W87" s="31">
        <f>IF($B$11&gt;8,$N$23/$B$11,"")</f>
        <v>0</v>
      </c>
      <c r="X87" s="31">
        <f>IF($B$11&gt;9,$N$23/$B$11,"")</f>
        <v>0</v>
      </c>
      <c r="Y87" s="31">
        <f>IF($B$11&gt;10,$N$23/$B$11,"")</f>
        <v>0</v>
      </c>
      <c r="Z87" s="31">
        <f>IF($B$11&gt;11,$N$23/$B$11,"")</f>
        <v>0</v>
      </c>
      <c r="AA87" s="31">
        <f>IF($B$11&gt;12,$N$23/$B$11,"")</f>
        <v>0</v>
      </c>
      <c r="AB87" s="31">
        <f>IF($B$11&gt;13,$N$23/$B$11,"")</f>
        <v>0</v>
      </c>
      <c r="AC87" s="31">
        <f>IF($B$11&gt;14,$N$23/$B$11,"")</f>
        <v>0</v>
      </c>
    </row>
    <row r="88" spans="1:32" ht="12.75" hidden="1" customHeight="1" x14ac:dyDescent="0.25">
      <c r="A88" s="7" t="s">
        <v>67</v>
      </c>
      <c r="L88" s="7"/>
      <c r="M88" s="268"/>
      <c r="N88" s="269"/>
      <c r="O88" s="31" t="e">
        <f t="shared" ref="O88:U88" si="30">IF(O34&gt;$E$32,0,IPMT($L$32,O34,$E$32,$L$29))*-1</f>
        <v>#DIV/0!</v>
      </c>
      <c r="P88" s="31" t="e">
        <f t="shared" si="30"/>
        <v>#DIV/0!</v>
      </c>
      <c r="Q88" s="31" t="e">
        <f t="shared" si="30"/>
        <v>#DIV/0!</v>
      </c>
      <c r="R88" s="31" t="e">
        <f t="shared" si="30"/>
        <v>#DIV/0!</v>
      </c>
      <c r="S88" s="31" t="e">
        <f t="shared" si="30"/>
        <v>#DIV/0!</v>
      </c>
      <c r="T88" s="31" t="e">
        <f t="shared" si="30"/>
        <v>#DIV/0!</v>
      </c>
      <c r="U88" s="31" t="e">
        <f t="shared" si="30"/>
        <v>#DIV/0!</v>
      </c>
      <c r="V88" s="31" t="e">
        <f>IF($B$11&gt;7,IF(V34&gt;$E$32,0,IPMT($L$32,V34,$E$32,$L$29))*-1,"")</f>
        <v>#DIV/0!</v>
      </c>
      <c r="W88" s="31" t="e">
        <f>IF($B$11&gt;8,IF(W34&gt;$E$32,0,IPMT($L$32,W34,$E$32,$L$29))*-1,"")</f>
        <v>#DIV/0!</v>
      </c>
      <c r="X88" s="31" t="e">
        <f>IF($B$11&gt;9,IF(X34&gt;$E$32,0,IPMT($L$32,X34,$E$32,$L$29))*-1,"")</f>
        <v>#DIV/0!</v>
      </c>
      <c r="Y88" s="31" t="e">
        <f>IF($B$11&gt;10,IF(Y34&gt;$E$32,0,IPMT($L$32,Y34,$E$32,$L$29))*-1,"")</f>
        <v>#DIV/0!</v>
      </c>
      <c r="Z88" s="31" t="e">
        <f>IF($B$11&gt;11,IF(Z34&gt;$E$32,0,IPMT($L$32,Z34,$E$32,$L$29))*-1,"")</f>
        <v>#DIV/0!</v>
      </c>
      <c r="AA88" s="31" t="e">
        <f>IF($B$11&gt;12,IF(AA34&gt;$E$32,0,IPMT($L$32,AA34,$E$32,$L$29))*-1,"")</f>
        <v>#DIV/0!</v>
      </c>
      <c r="AB88" s="31" t="e">
        <f>IF($B$11&gt;13,IF(AB34&gt;$E$32,0,IPMT($L$32,AB34,$E$32,$L$29))*-1,"")</f>
        <v>#DIV/0!</v>
      </c>
      <c r="AC88" s="31" t="e">
        <f>IF($B$11&gt;14,IF(AC34&gt;$E$32,0,IPMT($L$32,AC34,$E$32,$L$29))*-1,"")</f>
        <v>#DIV/0!</v>
      </c>
      <c r="AD88" s="7"/>
      <c r="AE88" s="8"/>
    </row>
    <row r="89" spans="1:32" ht="12.75" hidden="1" customHeight="1" x14ac:dyDescent="0.25">
      <c r="A89" s="7" t="s">
        <v>68</v>
      </c>
      <c r="M89" s="268"/>
      <c r="N89" s="269"/>
      <c r="O89" s="31" t="e">
        <f t="shared" ref="O89:U89" si="31">IF(O34&gt;$E$32,0,PPMT($L$32,O34,$E$32,$L$29))*-1</f>
        <v>#DIV/0!</v>
      </c>
      <c r="P89" s="31" t="e">
        <f t="shared" si="31"/>
        <v>#DIV/0!</v>
      </c>
      <c r="Q89" s="31" t="e">
        <f t="shared" si="31"/>
        <v>#DIV/0!</v>
      </c>
      <c r="R89" s="31" t="e">
        <f t="shared" si="31"/>
        <v>#DIV/0!</v>
      </c>
      <c r="S89" s="31" t="e">
        <f t="shared" si="31"/>
        <v>#DIV/0!</v>
      </c>
      <c r="T89" s="31" t="e">
        <f t="shared" si="31"/>
        <v>#DIV/0!</v>
      </c>
      <c r="U89" s="31" t="e">
        <f t="shared" si="31"/>
        <v>#DIV/0!</v>
      </c>
      <c r="V89" s="31" t="e">
        <f>IF($B$11&gt;7,IF(V34&gt;$E$32,0,PPMT($L$32,V34,$E$32,$L$29))*-1,"")</f>
        <v>#DIV/0!</v>
      </c>
      <c r="W89" s="31" t="e">
        <f>IF($B$11&gt;8,IF(W34&gt;$E$32,0,PPMT($L$32,W34,$E$32,$L$29))*-1,"")</f>
        <v>#DIV/0!</v>
      </c>
      <c r="X89" s="31" t="e">
        <f>IF($B$11&gt;9,IF(X34&gt;$E$32,0,PPMT($L$32,X34,$E$32,$L$29))*-1,"")</f>
        <v>#DIV/0!</v>
      </c>
      <c r="Y89" s="31" t="e">
        <f>IF($B$11&gt;10,IF(Y34&gt;$E$32,0,PPMT($L$32,Y34,$E$32,$L$29))*-1,"")</f>
        <v>#DIV/0!</v>
      </c>
      <c r="Z89" s="31" t="e">
        <f>IF($B$11&gt;11,IF(Z34&gt;$E$32,0,PPMT($L$32,Z34,$E$32,$L$29))*-1,"")</f>
        <v>#DIV/0!</v>
      </c>
      <c r="AA89" s="31" t="e">
        <f>IF($B$11&gt;12,IF(AA34&gt;$E$32,0,PPMT($L$32,AA34,$E$32,$L$29))*-1,"")</f>
        <v>#DIV/0!</v>
      </c>
      <c r="AB89" s="31" t="e">
        <f>IF($B$11&gt;13,IF(AB34&gt;$E$32,0,PPMT($L$32,AB34,$E$32,$L$29))*-1,"")</f>
        <v>#DIV/0!</v>
      </c>
      <c r="AC89" s="31" t="e">
        <f>IF($B$11&gt;14,IF(AC34&gt;$E$32,0,PPMT($L$32,AC34,$E$32,$L$29))*-1,"")</f>
        <v>#DIV/0!</v>
      </c>
      <c r="AD89" s="7"/>
      <c r="AE89" s="313"/>
      <c r="AF89" s="255"/>
    </row>
    <row r="90" spans="1:32" ht="12.75" hidden="1" customHeight="1" x14ac:dyDescent="0.25">
      <c r="A90" s="7" t="s">
        <v>69</v>
      </c>
      <c r="M90" s="268"/>
      <c r="N90" s="269"/>
      <c r="O90" s="31" t="e">
        <f>$L$29*$L$32</f>
        <v>#DIV/0!</v>
      </c>
      <c r="P90" s="31" t="e">
        <f t="shared" ref="P90:U90" si="32">O92*$L$32</f>
        <v>#DIV/0!</v>
      </c>
      <c r="Q90" s="31" t="e">
        <f t="shared" si="32"/>
        <v>#DIV/0!</v>
      </c>
      <c r="R90" s="31" t="e">
        <f t="shared" si="32"/>
        <v>#DIV/0!</v>
      </c>
      <c r="S90" s="31" t="e">
        <f t="shared" si="32"/>
        <v>#DIV/0!</v>
      </c>
      <c r="T90" s="31" t="e">
        <f t="shared" si="32"/>
        <v>#DIV/0!</v>
      </c>
      <c r="U90" s="31" t="e">
        <f t="shared" si="32"/>
        <v>#DIV/0!</v>
      </c>
      <c r="V90" s="31" t="e">
        <f>IF($B$11&gt;7,U92*$L$32,"")</f>
        <v>#DIV/0!</v>
      </c>
      <c r="W90" s="31" t="e">
        <f>IF($B$11&gt;8,V92*$L$32,"")</f>
        <v>#DIV/0!</v>
      </c>
      <c r="X90" s="31" t="e">
        <f>IF($B$11&gt;9,W92*$L$32,"")</f>
        <v>#DIV/0!</v>
      </c>
      <c r="Y90" s="31" t="e">
        <f>IF($B$11&gt;10,X92*$L$32,"")</f>
        <v>#DIV/0!</v>
      </c>
      <c r="Z90" s="31" t="e">
        <f>IF($B$11&gt;11,Y92*$L$32,"")</f>
        <v>#DIV/0!</v>
      </c>
      <c r="AA90" s="31" t="e">
        <f>IF($B$11&gt;12,Z92*$L$32,"")</f>
        <v>#DIV/0!</v>
      </c>
      <c r="AB90" s="31" t="e">
        <f>IF($B$11&gt;13,AA92*$L$32,"")</f>
        <v>#DIV/0!</v>
      </c>
      <c r="AC90" s="31" t="e">
        <f>IF($B$11&gt;14,AB92*$L$32,"")</f>
        <v>#DIV/0!</v>
      </c>
      <c r="AD90" s="7"/>
      <c r="AE90" s="313"/>
    </row>
    <row r="91" spans="1:32" ht="12.75" hidden="1" customHeight="1" x14ac:dyDescent="0.25">
      <c r="A91" s="7" t="s">
        <v>70</v>
      </c>
      <c r="M91" s="268"/>
      <c r="N91" s="269"/>
      <c r="O91" s="31" t="e">
        <f t="shared" ref="O91:U91" si="33">IF(O34&gt;$E$32,0,$L$29/$E32)</f>
        <v>#DIV/0!</v>
      </c>
      <c r="P91" s="31" t="e">
        <f t="shared" si="33"/>
        <v>#DIV/0!</v>
      </c>
      <c r="Q91" s="31" t="e">
        <f t="shared" si="33"/>
        <v>#DIV/0!</v>
      </c>
      <c r="R91" s="31" t="e">
        <f t="shared" si="33"/>
        <v>#DIV/0!</v>
      </c>
      <c r="S91" s="31" t="e">
        <f t="shared" si="33"/>
        <v>#DIV/0!</v>
      </c>
      <c r="T91" s="31" t="e">
        <f t="shared" si="33"/>
        <v>#DIV/0!</v>
      </c>
      <c r="U91" s="31" t="e">
        <f t="shared" si="33"/>
        <v>#DIV/0!</v>
      </c>
      <c r="V91" s="31" t="e">
        <f>IF($B$11&gt;7,IF(V34&gt;$E$32,0,$L$29/$E32),"")</f>
        <v>#DIV/0!</v>
      </c>
      <c r="W91" s="31" t="e">
        <f>IF($B$11&gt;8,IF(W34&gt;$E$32,0,$L$29/$E32),"")</f>
        <v>#DIV/0!</v>
      </c>
      <c r="X91" s="31" t="e">
        <f>IF($B$11&gt;9,IF(X34&gt;$E$32,0,$L$29/$E32),"")</f>
        <v>#DIV/0!</v>
      </c>
      <c r="Y91" s="31" t="e">
        <f>IF($B$11&gt;10,IF(Y34&gt;$E$32,0,$L$29/$E32),"")</f>
        <v>#DIV/0!</v>
      </c>
      <c r="Z91" s="31" t="e">
        <f>IF($B$11&gt;11,IF(Z34&gt;$E$32,0,$L$29/$E32),"")</f>
        <v>#DIV/0!</v>
      </c>
      <c r="AA91" s="31" t="e">
        <f>IF($B$11&gt;12,IF(AA34&gt;$E$32,0,$L$29/$E32),"")</f>
        <v>#DIV/0!</v>
      </c>
      <c r="AB91" s="31" t="e">
        <f>IF($B$11&gt;13,IF(AB34&gt;$E$32,0,$L$29/$E32),"")</f>
        <v>#DIV/0!</v>
      </c>
      <c r="AC91" s="31" t="e">
        <f>IF($B$11&gt;14,IF(AC34&gt;$E$32,0,$L$29/$E32),"")</f>
        <v>#DIV/0!</v>
      </c>
      <c r="AD91" s="7"/>
      <c r="AE91" s="313"/>
      <c r="AF91" s="255"/>
    </row>
    <row r="92" spans="1:32" ht="12.75" hidden="1" customHeight="1" x14ac:dyDescent="0.25">
      <c r="A92" s="7" t="s">
        <v>71</v>
      </c>
      <c r="M92" s="268"/>
      <c r="N92" s="269"/>
      <c r="O92" s="31" t="e">
        <f>$L$29-O91</f>
        <v>#DIV/0!</v>
      </c>
      <c r="P92" s="31" t="e">
        <f>O92-P91</f>
        <v>#DIV/0!</v>
      </c>
      <c r="Q92" s="31" t="e">
        <f t="shared" ref="Q92:U92" si="34">P92-Q91</f>
        <v>#DIV/0!</v>
      </c>
      <c r="R92" s="31" t="e">
        <f t="shared" si="34"/>
        <v>#DIV/0!</v>
      </c>
      <c r="S92" s="31" t="e">
        <f t="shared" si="34"/>
        <v>#DIV/0!</v>
      </c>
      <c r="T92" s="31" t="e">
        <f t="shared" si="34"/>
        <v>#DIV/0!</v>
      </c>
      <c r="U92" s="31" t="e">
        <f t="shared" si="34"/>
        <v>#DIV/0!</v>
      </c>
      <c r="V92" s="31" t="e">
        <f>IF($B$11&gt;7,U92-V91,"")</f>
        <v>#DIV/0!</v>
      </c>
      <c r="W92" s="31" t="e">
        <f>IF($B$11&gt;8,V92-W91,"")</f>
        <v>#DIV/0!</v>
      </c>
      <c r="X92" s="31" t="e">
        <f>IF($B$11&gt;9,W92-X91,"")</f>
        <v>#DIV/0!</v>
      </c>
      <c r="Y92" s="31" t="e">
        <f>IF($B$11&gt;10,X92-Y91,"")</f>
        <v>#DIV/0!</v>
      </c>
      <c r="Z92" s="31" t="e">
        <f>IF($B$11&gt;11,Y92-Z91,"")</f>
        <v>#DIV/0!</v>
      </c>
      <c r="AA92" s="31" t="e">
        <f>IF($B$11&gt;12,Z92-AA91,"")</f>
        <v>#DIV/0!</v>
      </c>
      <c r="AB92" s="31" t="e">
        <f>IF($B$11&gt;13,AA92-AB91,"")</f>
        <v>#DIV/0!</v>
      </c>
      <c r="AC92" s="31" t="e">
        <f>IF($B$11&gt;14,AB92-AC91,"")</f>
        <v>#DIV/0!</v>
      </c>
      <c r="AD92" s="7"/>
      <c r="AE92" s="8"/>
    </row>
    <row r="93" spans="1:32" ht="12.75" hidden="1" customHeight="1" x14ac:dyDescent="0.25">
      <c r="A93" s="7"/>
      <c r="M93" s="268"/>
      <c r="N93" s="269"/>
      <c r="O93" s="31"/>
      <c r="P93" s="31"/>
      <c r="Q93" s="31"/>
      <c r="R93" s="31"/>
      <c r="S93" s="31"/>
      <c r="T93" s="31"/>
      <c r="U93" s="31"/>
      <c r="V93" s="31"/>
      <c r="W93" s="31"/>
      <c r="X93" s="31"/>
      <c r="Y93" s="31"/>
      <c r="Z93" s="31"/>
      <c r="AA93" s="31"/>
      <c r="AB93" s="31"/>
      <c r="AC93" s="31"/>
    </row>
    <row r="94" spans="1:32" ht="12.75" customHeight="1" x14ac:dyDescent="0.25">
      <c r="A94" s="7" t="str">
        <f>IF(Hulpblad_overig!$A$30=1,A88,IF(Hulpblad_overig!$A$30=2,A90,0))</f>
        <v>Rentelasten annuïteitenlening</v>
      </c>
      <c r="B94" s="33">
        <f>E32</f>
        <v>15</v>
      </c>
      <c r="C94" s="290" t="s">
        <v>72</v>
      </c>
      <c r="D94" s="290"/>
      <c r="E94" s="290"/>
      <c r="F94" s="290"/>
      <c r="G94" s="290"/>
      <c r="H94" s="290"/>
      <c r="I94" s="291"/>
      <c r="J94" s="291"/>
      <c r="K94" s="285"/>
      <c r="M94" s="268"/>
      <c r="N94" s="269"/>
      <c r="O94" s="31" t="e">
        <f>IF(Hulpblad_overig!$A$30=1,O88,IF(Hulpblad_overig!$A$30=2,O90,0))</f>
        <v>#DIV/0!</v>
      </c>
      <c r="P94" s="31" t="e">
        <f>IF(Hulpblad_overig!$A$30=1,P88,IF(Hulpblad_overig!$A$30=2,P90,0))</f>
        <v>#DIV/0!</v>
      </c>
      <c r="Q94" s="31" t="e">
        <f>IF(Hulpblad_overig!$A$30=1,Q88,IF(Hulpblad_overig!$A$30=2,Q90,0))</f>
        <v>#DIV/0!</v>
      </c>
      <c r="R94" s="31" t="e">
        <f>IF(Hulpblad_overig!$A$30=1,R88,IF(Hulpblad_overig!$A$30=2,R90,0))</f>
        <v>#DIV/0!</v>
      </c>
      <c r="S94" s="31" t="e">
        <f>IF(Hulpblad_overig!$A$30=1,S88,IF(Hulpblad_overig!$A$30=2,S90,0))</f>
        <v>#DIV/0!</v>
      </c>
      <c r="T94" s="31" t="e">
        <f>IF(Hulpblad_overig!$A$30=1,T88,IF(Hulpblad_overig!$A$30=2,T90,0))</f>
        <v>#DIV/0!</v>
      </c>
      <c r="U94" s="31" t="e">
        <f>IF(Hulpblad_overig!$A$30=1,U88,IF(Hulpblad_overig!$A$30=2,U90,0))</f>
        <v>#DIV/0!</v>
      </c>
      <c r="V94" s="31" t="e">
        <f>IF($B$11&gt;7,IF(Hulpblad_overig!$A$30=1,V88,IF(Hulpblad_overig!$A$30=2,V90,0)),"")</f>
        <v>#DIV/0!</v>
      </c>
      <c r="W94" s="31" t="e">
        <f>IF($B$11&gt;8,IF(Hulpblad_overig!$A$30=1,W88,IF(Hulpblad_overig!$A$30=2,W90,0)),"")</f>
        <v>#DIV/0!</v>
      </c>
      <c r="X94" s="31" t="e">
        <f>IF($B$11&gt;9,IF(Hulpblad_overig!$A$30=1,X88,IF(Hulpblad_overig!$A$30=2,X90,0)),"")</f>
        <v>#DIV/0!</v>
      </c>
      <c r="Y94" s="31" t="e">
        <f>IF($B$11&gt;10,IF(Hulpblad_overig!$A$30=1,Y88,IF(Hulpblad_overig!$A$30=2,Y90,0)),"")</f>
        <v>#DIV/0!</v>
      </c>
      <c r="Z94" s="31" t="e">
        <f>IF($B$11&gt;11,IF(Hulpblad_overig!$A$30=1,Z88,IF(Hulpblad_overig!$A$30=2,Z90,0)),"")</f>
        <v>#DIV/0!</v>
      </c>
      <c r="AA94" s="31" t="e">
        <f>IF($B$11&gt;12,IF(Hulpblad_overig!$A$30=1,AA88,IF(Hulpblad_overig!$A$30=2,AA90,0)),"")</f>
        <v>#DIV/0!</v>
      </c>
      <c r="AB94" s="31" t="e">
        <f>IF($B$11&gt;13,IF(Hulpblad_overig!$A$30=1,AB88,IF(Hulpblad_overig!$A$30=2,AB90,0)),"")</f>
        <v>#DIV/0!</v>
      </c>
      <c r="AC94" s="31" t="e">
        <f>IF($B$11&gt;14,IF(Hulpblad_overig!$A$30=1,AC88,IF(Hulpblad_overig!$A$30=2,AC90,0)),"")</f>
        <v>#DIV/0!</v>
      </c>
      <c r="AD94" s="8"/>
    </row>
    <row r="95" spans="1:32" ht="12.75" customHeight="1" x14ac:dyDescent="0.25">
      <c r="A95" s="7" t="str">
        <f>IF(Hulpblad_overig!$A$30=1,A89,IF(Hulpblad_overig!$A$30=2,A91,0))</f>
        <v>Aflossingen annuïteitenlening</v>
      </c>
      <c r="B95" s="36">
        <f>E32</f>
        <v>15</v>
      </c>
      <c r="C95" s="290" t="s">
        <v>72</v>
      </c>
      <c r="D95" s="290"/>
      <c r="E95" s="290"/>
      <c r="F95" s="290"/>
      <c r="G95" s="290"/>
      <c r="H95" s="290"/>
      <c r="I95" s="291"/>
      <c r="J95" s="291"/>
      <c r="K95" s="285"/>
      <c r="M95" s="268"/>
      <c r="N95" s="269"/>
      <c r="O95" s="31" t="e">
        <f>IF(Hulpblad_overig!$A$30=1,O89,IF(Hulpblad_overig!$A$30=2,O91,0))</f>
        <v>#DIV/0!</v>
      </c>
      <c r="P95" s="31" t="e">
        <f>IF(Hulpblad_overig!$A$30=1,P89,IF(Hulpblad_overig!$A$30=2,P91,0))</f>
        <v>#DIV/0!</v>
      </c>
      <c r="Q95" s="31" t="e">
        <f>IF(Hulpblad_overig!$A$30=1,Q89,IF(Hulpblad_overig!$A$30=2,Q91,0))</f>
        <v>#DIV/0!</v>
      </c>
      <c r="R95" s="31" t="e">
        <f>IF(Hulpblad_overig!$A$30=1,R89,IF(Hulpblad_overig!$A$30=2,R91,0))</f>
        <v>#DIV/0!</v>
      </c>
      <c r="S95" s="31" t="e">
        <f>IF(Hulpblad_overig!$A$30=1,S89,IF(Hulpblad_overig!$A$30=2,S91,0))</f>
        <v>#DIV/0!</v>
      </c>
      <c r="T95" s="31" t="e">
        <f>IF(Hulpblad_overig!$A$30=1,T89,IF(Hulpblad_overig!$A$30=2,T91,0))</f>
        <v>#DIV/0!</v>
      </c>
      <c r="U95" s="31" t="e">
        <f>IF(Hulpblad_overig!$A$30=1,U89,IF(Hulpblad_overig!$A$30=2,U91,0))</f>
        <v>#DIV/0!</v>
      </c>
      <c r="V95" s="31" t="e">
        <f>IF($B$11&gt;7,IF(Hulpblad_overig!$A$30=1,V89,IF(Hulpblad_overig!$A$30=2,V91,0)),"")</f>
        <v>#DIV/0!</v>
      </c>
      <c r="W95" s="31" t="e">
        <f>IF($B$11&gt;8,IF(Hulpblad_overig!$A$30=1,W89,IF(Hulpblad_overig!$A$30=2,W91,0)),"")</f>
        <v>#DIV/0!</v>
      </c>
      <c r="X95" s="31" t="e">
        <f>IF($B$11&gt;9,IF(Hulpblad_overig!$A$30=1,X89,IF(Hulpblad_overig!$A$30=2,X91,0)),"")</f>
        <v>#DIV/0!</v>
      </c>
      <c r="Y95" s="31" t="e">
        <f>IF($B$11&gt;10,IF(Hulpblad_overig!$A$30=1,Y89,IF(Hulpblad_overig!$A$30=2,Y91,0)),"")</f>
        <v>#DIV/0!</v>
      </c>
      <c r="Z95" s="31" t="e">
        <f>IF($B$11&gt;11,IF(Hulpblad_overig!$A$30=1,Z89,IF(Hulpblad_overig!$A$30=2,Z91,0)),"")</f>
        <v>#DIV/0!</v>
      </c>
      <c r="AA95" s="31" t="e">
        <f>IF($B$11&gt;12,IF(Hulpblad_overig!$A$30=1,AA89,IF(Hulpblad_overig!$A$30=2,AA91,0)),"")</f>
        <v>#DIV/0!</v>
      </c>
      <c r="AB95" s="31" t="e">
        <f>IF($B$11&gt;13,IF(Hulpblad_overig!$A$30=1,AB89,IF(Hulpblad_overig!$A$30=2,AB91,0)),"")</f>
        <v>#DIV/0!</v>
      </c>
      <c r="AC95" s="31" t="e">
        <f>IF($B$11&gt;14,IF(Hulpblad_overig!$A$30=1,AC89,IF(Hulpblad_overig!$A$30=2,AC91,0)),"")</f>
        <v>#DIV/0!</v>
      </c>
      <c r="AD95" s="8"/>
    </row>
    <row r="96" spans="1:32" ht="12.75" customHeight="1" x14ac:dyDescent="0.25">
      <c r="A96" s="7"/>
      <c r="M96" s="268"/>
      <c r="N96" s="269"/>
      <c r="O96" s="269"/>
      <c r="P96" s="269"/>
      <c r="Q96" s="269"/>
      <c r="R96" s="269"/>
      <c r="S96" s="269"/>
      <c r="T96" s="269"/>
      <c r="U96" s="269"/>
      <c r="V96" s="269"/>
      <c r="W96" s="314"/>
      <c r="X96" s="314"/>
      <c r="Y96" s="314"/>
      <c r="Z96" s="314"/>
      <c r="AA96" s="269"/>
      <c r="AB96" s="269"/>
      <c r="AC96" s="269"/>
    </row>
    <row r="97" spans="1:29" s="23" customFormat="1" ht="12.75" customHeight="1" x14ac:dyDescent="0.2">
      <c r="A97" s="35" t="s">
        <v>73</v>
      </c>
      <c r="N97" s="27">
        <f t="shared" ref="N97:U97" si="35">N84+N87+N94</f>
        <v>0</v>
      </c>
      <c r="O97" s="27" t="e">
        <f t="shared" si="35"/>
        <v>#DIV/0!</v>
      </c>
      <c r="P97" s="27" t="e">
        <f t="shared" si="35"/>
        <v>#DIV/0!</v>
      </c>
      <c r="Q97" s="27" t="e">
        <f t="shared" si="35"/>
        <v>#DIV/0!</v>
      </c>
      <c r="R97" s="27" t="e">
        <f t="shared" si="35"/>
        <v>#DIV/0!</v>
      </c>
      <c r="S97" s="27" t="e">
        <f t="shared" si="35"/>
        <v>#DIV/0!</v>
      </c>
      <c r="T97" s="27" t="e">
        <f t="shared" si="35"/>
        <v>#DIV/0!</v>
      </c>
      <c r="U97" s="27" t="e">
        <f t="shared" si="35"/>
        <v>#DIV/0!</v>
      </c>
      <c r="V97" s="27" t="e">
        <f>IF($B$11&gt;7,V84+V87+V94,"")</f>
        <v>#DIV/0!</v>
      </c>
      <c r="W97" s="27" t="e">
        <f>IF($B$11&gt;8,W84+W87+W94,"")</f>
        <v>#DIV/0!</v>
      </c>
      <c r="X97" s="27" t="e">
        <f>IF($B$11&gt;9,X84+X87+X94,"")</f>
        <v>#DIV/0!</v>
      </c>
      <c r="Y97" s="27" t="e">
        <f>IF($B$11&gt;10,Y84+Y87+Y94,"")</f>
        <v>#DIV/0!</v>
      </c>
      <c r="Z97" s="27" t="e">
        <f>IF($B$11&gt;11,Z84+Z87+Z94,"")</f>
        <v>#DIV/0!</v>
      </c>
      <c r="AA97" s="27" t="e">
        <f>IF($B$11&gt;12,AA84+AA87+AA94,"")</f>
        <v>#DIV/0!</v>
      </c>
      <c r="AB97" s="27" t="e">
        <f>IF($B$11&gt;13,AB84+AB87+AB94,"")</f>
        <v>#DIV/0!</v>
      </c>
      <c r="AC97" s="27" t="e">
        <f>IF($B$11&gt;14,AC84+AC87+AC94,"")</f>
        <v>#DIV/0!</v>
      </c>
    </row>
    <row r="98" spans="1:29" s="23" customFormat="1" ht="12.75" customHeight="1" x14ac:dyDescent="0.2">
      <c r="N98" s="27"/>
      <c r="O98" s="27"/>
      <c r="P98" s="27"/>
      <c r="Q98" s="27"/>
      <c r="R98" s="27"/>
      <c r="S98" s="27"/>
      <c r="T98" s="27"/>
      <c r="U98" s="27"/>
      <c r="V98" s="27"/>
      <c r="W98" s="27"/>
      <c r="X98" s="27"/>
      <c r="Y98" s="27"/>
      <c r="Z98" s="27"/>
      <c r="AA98" s="27"/>
      <c r="AB98" s="27"/>
      <c r="AC98" s="27"/>
    </row>
    <row r="99" spans="1:29" s="23" customFormat="1" ht="12.75" customHeight="1" x14ac:dyDescent="0.2">
      <c r="A99" s="23" t="s">
        <v>74</v>
      </c>
      <c r="N99" s="27">
        <f t="shared" ref="N99:U99" si="36">N65-N97</f>
        <v>0</v>
      </c>
      <c r="O99" s="27" t="e">
        <f t="shared" si="36"/>
        <v>#DIV/0!</v>
      </c>
      <c r="P99" s="27" t="e">
        <f t="shared" si="36"/>
        <v>#DIV/0!</v>
      </c>
      <c r="Q99" s="27" t="e">
        <f t="shared" si="36"/>
        <v>#DIV/0!</v>
      </c>
      <c r="R99" s="27" t="e">
        <f t="shared" si="36"/>
        <v>#DIV/0!</v>
      </c>
      <c r="S99" s="27" t="e">
        <f t="shared" si="36"/>
        <v>#DIV/0!</v>
      </c>
      <c r="T99" s="27" t="e">
        <f t="shared" si="36"/>
        <v>#DIV/0!</v>
      </c>
      <c r="U99" s="27" t="e">
        <f t="shared" si="36"/>
        <v>#DIV/0!</v>
      </c>
      <c r="V99" s="27" t="e">
        <f>IF($B$11&gt;7,V65-V97,"")</f>
        <v>#DIV/0!</v>
      </c>
      <c r="W99" s="27" t="e">
        <f>IF($B$11&gt;8,W65-W97,"")</f>
        <v>#DIV/0!</v>
      </c>
      <c r="X99" s="27" t="e">
        <f>IF($B$11&gt;9,X65-X97,"")</f>
        <v>#DIV/0!</v>
      </c>
      <c r="Y99" s="27" t="e">
        <f>IF($B$11&gt;10,Y65-Y97,"")</f>
        <v>#DIV/0!</v>
      </c>
      <c r="Z99" s="27" t="e">
        <f>IF($B$11&gt;11,Z65-Z97,"")</f>
        <v>#DIV/0!</v>
      </c>
      <c r="AA99" s="27" t="e">
        <f>IF($B$11&gt;12,AA65-AA97,"")</f>
        <v>#DIV/0!</v>
      </c>
      <c r="AB99" s="27" t="e">
        <f>IF($B$11&gt;13,AB65-AB97,"")</f>
        <v>#DIV/0!</v>
      </c>
      <c r="AC99" s="27" t="e">
        <f>IF($B$11&gt;14,AC65-AC97,"")</f>
        <v>#DIV/0!</v>
      </c>
    </row>
    <row r="100" spans="1:29" s="23" customFormat="1" ht="12.75" customHeight="1" x14ac:dyDescent="0.2">
      <c r="N100" s="27"/>
      <c r="O100" s="27"/>
      <c r="P100" s="27"/>
      <c r="Q100" s="27"/>
      <c r="R100" s="27"/>
      <c r="S100" s="27"/>
      <c r="T100" s="27"/>
      <c r="U100" s="27"/>
      <c r="V100" s="27"/>
      <c r="W100" s="27"/>
      <c r="X100" s="27"/>
      <c r="Y100" s="27"/>
      <c r="Z100" s="27"/>
      <c r="AA100" s="27"/>
      <c r="AB100" s="27"/>
      <c r="AC100" s="27"/>
    </row>
    <row r="101" spans="1:29" ht="12.75" customHeight="1" x14ac:dyDescent="0.25">
      <c r="A101" s="7" t="s">
        <v>75</v>
      </c>
      <c r="L101" s="88">
        <v>0</v>
      </c>
      <c r="M101" s="272"/>
      <c r="N101" s="269"/>
      <c r="O101" s="269"/>
      <c r="P101" s="269"/>
      <c r="Q101" s="269"/>
      <c r="R101" s="269"/>
      <c r="S101" s="269"/>
      <c r="T101" s="269"/>
      <c r="U101" s="269"/>
      <c r="V101" s="269"/>
      <c r="W101" s="314"/>
      <c r="X101" s="314"/>
      <c r="Y101" s="314"/>
      <c r="Z101" s="314"/>
      <c r="AA101" s="269"/>
      <c r="AB101" s="269"/>
      <c r="AC101" s="269"/>
    </row>
    <row r="102" spans="1:29" ht="12.75" customHeight="1" x14ac:dyDescent="0.25">
      <c r="A102" s="7" t="s">
        <v>76</v>
      </c>
      <c r="K102" s="23"/>
      <c r="M102" s="272"/>
      <c r="N102" s="269"/>
      <c r="O102" s="269" t="e">
        <f>IF(AND(O99&gt;0,N103&gt;0),MIN(O99,N103),0)</f>
        <v>#DIV/0!</v>
      </c>
      <c r="P102" s="269" t="e">
        <f t="shared" ref="P102:U102" si="37">IF(AND(P99&gt;0,O103&gt;0),MIN(P99,O103),0)</f>
        <v>#DIV/0!</v>
      </c>
      <c r="Q102" s="269" t="e">
        <f t="shared" si="37"/>
        <v>#DIV/0!</v>
      </c>
      <c r="R102" s="269" t="e">
        <f t="shared" si="37"/>
        <v>#DIV/0!</v>
      </c>
      <c r="S102" s="269" t="e">
        <f t="shared" si="37"/>
        <v>#DIV/0!</v>
      </c>
      <c r="T102" s="269" t="e">
        <f t="shared" si="37"/>
        <v>#DIV/0!</v>
      </c>
      <c r="U102" s="269" t="e">
        <f t="shared" si="37"/>
        <v>#DIV/0!</v>
      </c>
      <c r="V102" s="31" t="e">
        <f>IF($B$11&gt;7,IF(AND(V99&gt;0,U103&gt;0),MIN(V99,U103),0),"")</f>
        <v>#DIV/0!</v>
      </c>
      <c r="W102" s="31" t="e">
        <f>IF($B$11&gt;8,IF(AND(W99&gt;0,V103&gt;0),MIN(W99,V103),0),"")</f>
        <v>#DIV/0!</v>
      </c>
      <c r="X102" s="31" t="e">
        <f>IF($B$11&gt;9,IF(AND(X99&gt;0,W103&gt;0),MIN(X99,W103),0),"")</f>
        <v>#DIV/0!</v>
      </c>
      <c r="Y102" s="31" t="e">
        <f>IF($B$11&gt;10,IF(AND(Y99&gt;0,X103&gt;0),MIN(Y99,X103),0),"")</f>
        <v>#DIV/0!</v>
      </c>
      <c r="Z102" s="31" t="e">
        <f>IF($B$11&gt;11,IF(AND(Z99&gt;0,Y103&gt;0),MIN(Z99,Y103),0),"")</f>
        <v>#DIV/0!</v>
      </c>
      <c r="AA102" s="31" t="e">
        <f>IF($B$11&gt;12,IF(AND(AA99&gt;0,Z103&gt;0),MIN(AA99,Z103),0),"")</f>
        <v>#DIV/0!</v>
      </c>
      <c r="AB102" s="31" t="e">
        <f>IF($B$11&gt;13,IF(AND(AB99&gt;0,AA103&gt;0),MIN(AB99,AA103),0),"")</f>
        <v>#DIV/0!</v>
      </c>
      <c r="AC102" s="31" t="e">
        <f>IF($B$11&gt;14,IF(AND(AC99&gt;0,AB103&gt;0),MIN(AC99,AB103),0),"")</f>
        <v>#DIV/0!</v>
      </c>
    </row>
    <row r="103" spans="1:29" ht="12.75" customHeight="1" x14ac:dyDescent="0.25">
      <c r="A103" s="7" t="s">
        <v>77</v>
      </c>
      <c r="M103" s="269"/>
      <c r="N103" s="269">
        <f>L101</f>
        <v>0</v>
      </c>
      <c r="O103" s="269" t="e">
        <f t="shared" ref="O103:U103" si="38">IF(O34&lt;10,IF((N103-O102)&lt;0,0,(N103-O102)),0)</f>
        <v>#DIV/0!</v>
      </c>
      <c r="P103" s="269" t="e">
        <f t="shared" si="38"/>
        <v>#DIV/0!</v>
      </c>
      <c r="Q103" s="269" t="e">
        <f t="shared" si="38"/>
        <v>#DIV/0!</v>
      </c>
      <c r="R103" s="269" t="e">
        <f t="shared" si="38"/>
        <v>#DIV/0!</v>
      </c>
      <c r="S103" s="269" t="e">
        <f t="shared" si="38"/>
        <v>#DIV/0!</v>
      </c>
      <c r="T103" s="269" t="e">
        <f t="shared" si="38"/>
        <v>#DIV/0!</v>
      </c>
      <c r="U103" s="269" t="e">
        <f t="shared" si="38"/>
        <v>#DIV/0!</v>
      </c>
      <c r="V103" s="31" t="e">
        <f>IF($B$11&gt;7,IF(V34&lt;10,IF((U103-V102)&lt;0,0,(U103-V102)),0),"")</f>
        <v>#DIV/0!</v>
      </c>
      <c r="W103" s="31" t="e">
        <f>IF($B$11&gt;8,IF(W34&lt;10,IF((V103-W102)&lt;0,0,(V103-W102)),0),"")</f>
        <v>#DIV/0!</v>
      </c>
      <c r="X103" s="31">
        <f>IF($B$11&gt;9,IF(X34&lt;10,IF((W103-X102)&lt;0,0,(W103-X102)),0),"")</f>
        <v>0</v>
      </c>
      <c r="Y103" s="31">
        <f>IF($B$11&gt;10,IF(Y34&lt;10,IF((X103-Y102)&lt;0,0,(X103-Y102)),0),"")</f>
        <v>0</v>
      </c>
      <c r="Z103" s="31">
        <f>IF($B$11&gt;11,IF(Z34&lt;10,IF((Y103-Z102)&lt;0,0,(Y103-Z102)),0),"")</f>
        <v>0</v>
      </c>
      <c r="AA103" s="31">
        <f>IF($B$11&gt;12,IF(AA34&lt;10,IF((Z103-AA102)&lt;0,0,(Z103-AA102)),0),"")</f>
        <v>0</v>
      </c>
      <c r="AB103" s="31">
        <f>IF($B$11&gt;13,IF(AB34&lt;10,IF((AA103-AB102)&lt;0,0,(AA103-AB102)),0),"")</f>
        <v>0</v>
      </c>
      <c r="AC103" s="31">
        <f>IF($B$11&gt;14,IF(AC34&lt;10,IF((AB103-AC102)&lt;0,0,(AB103-AC102)),0),"")</f>
        <v>0</v>
      </c>
    </row>
    <row r="104" spans="1:29" s="23" customFormat="1" ht="12.75" customHeight="1" x14ac:dyDescent="0.2">
      <c r="A104" s="7" t="s">
        <v>78</v>
      </c>
      <c r="B104" s="7"/>
      <c r="C104" s="7"/>
      <c r="D104" s="7"/>
      <c r="E104" s="7"/>
      <c r="F104" s="7"/>
      <c r="G104" s="7"/>
      <c r="H104" s="7"/>
      <c r="I104" s="7"/>
      <c r="J104" s="7"/>
      <c r="K104" s="7"/>
      <c r="L104" s="7"/>
      <c r="M104" s="7"/>
      <c r="N104" s="31"/>
      <c r="O104" s="31">
        <f>IF(N99&lt;0,-N99,0)</f>
        <v>0</v>
      </c>
      <c r="P104" s="31" t="e">
        <f t="shared" ref="P104:U104" si="39">IF(O106&lt;0,-O106,0)</f>
        <v>#DIV/0!</v>
      </c>
      <c r="Q104" s="31" t="e">
        <f t="shared" si="39"/>
        <v>#DIV/0!</v>
      </c>
      <c r="R104" s="31" t="e">
        <f t="shared" si="39"/>
        <v>#DIV/0!</v>
      </c>
      <c r="S104" s="31" t="e">
        <f t="shared" si="39"/>
        <v>#DIV/0!</v>
      </c>
      <c r="T104" s="31" t="e">
        <f t="shared" si="39"/>
        <v>#DIV/0!</v>
      </c>
      <c r="U104" s="31" t="e">
        <f t="shared" si="39"/>
        <v>#DIV/0!</v>
      </c>
      <c r="V104" s="31" t="e">
        <f>IF($B$11&gt;7,IF(U106&lt;0,-U106,0),"")</f>
        <v>#DIV/0!</v>
      </c>
      <c r="W104" s="31" t="e">
        <f>IF($B$11&gt;8,IF(V106&lt;0,-V106,0),"")</f>
        <v>#DIV/0!</v>
      </c>
      <c r="X104" s="31" t="e">
        <f>IF($B$11&gt;9,IF(W106&lt;0,-W106,0),"")</f>
        <v>#DIV/0!</v>
      </c>
      <c r="Y104" s="31" t="e">
        <f>IF($B$11&gt;10,IF(X106&lt;0,-X106,0),"")</f>
        <v>#DIV/0!</v>
      </c>
      <c r="Z104" s="31" t="e">
        <f>IF($B$11&gt;11,IF(Y106&lt;0,-Y106,0),"")</f>
        <v>#DIV/0!</v>
      </c>
      <c r="AA104" s="31" t="e">
        <f>IF($B$11&gt;12,IF(Z106&lt;0,-Z106,0),"")</f>
        <v>#DIV/0!</v>
      </c>
      <c r="AB104" s="31" t="e">
        <f>IF($B$11&gt;13,IF(AA106&lt;0,-AA106,0),"")</f>
        <v>#DIV/0!</v>
      </c>
      <c r="AC104" s="31" t="e">
        <f>IF($B$11&gt;14,IF(AB106&lt;0,-AB106,0),"")</f>
        <v>#DIV/0!</v>
      </c>
    </row>
    <row r="105" spans="1:29" ht="12.75" customHeight="1" x14ac:dyDescent="0.25">
      <c r="A105" s="7"/>
      <c r="M105" s="269"/>
      <c r="N105" s="269"/>
      <c r="O105" s="269"/>
      <c r="P105" s="269"/>
      <c r="Q105" s="269"/>
      <c r="R105" s="269"/>
      <c r="S105" s="269"/>
      <c r="T105" s="269"/>
      <c r="U105" s="269"/>
      <c r="V105" s="269"/>
      <c r="W105" s="314"/>
      <c r="X105" s="314"/>
      <c r="Y105" s="314"/>
      <c r="Z105" s="314"/>
      <c r="AA105" s="314"/>
      <c r="AB105" s="314"/>
      <c r="AC105" s="314"/>
    </row>
    <row r="106" spans="1:29" s="23" customFormat="1" ht="12.75" customHeight="1" x14ac:dyDescent="0.2">
      <c r="A106" s="23" t="s">
        <v>79</v>
      </c>
      <c r="N106" s="27">
        <f>N99-N102</f>
        <v>0</v>
      </c>
      <c r="O106" s="27" t="e">
        <f>O99-O102-O104</f>
        <v>#DIV/0!</v>
      </c>
      <c r="P106" s="27" t="e">
        <f>P99-P102-P104</f>
        <v>#DIV/0!</v>
      </c>
      <c r="Q106" s="27" t="e">
        <f t="shared" ref="Q106:U106" si="40">Q99-Q102-Q104</f>
        <v>#DIV/0!</v>
      </c>
      <c r="R106" s="27" t="e">
        <f t="shared" si="40"/>
        <v>#DIV/0!</v>
      </c>
      <c r="S106" s="27" t="e">
        <f t="shared" si="40"/>
        <v>#DIV/0!</v>
      </c>
      <c r="T106" s="27" t="e">
        <f t="shared" si="40"/>
        <v>#DIV/0!</v>
      </c>
      <c r="U106" s="27" t="e">
        <f t="shared" si="40"/>
        <v>#DIV/0!</v>
      </c>
      <c r="V106" s="27" t="e">
        <f>IF($B$11&gt;7,V99-V102-V104,"")</f>
        <v>#DIV/0!</v>
      </c>
      <c r="W106" s="27" t="e">
        <f>IF($B$11&gt;8,W99-W102-W104,"")</f>
        <v>#DIV/0!</v>
      </c>
      <c r="X106" s="27" t="e">
        <f>IF($B$11&gt;9,X99-X102-X104,"")</f>
        <v>#DIV/0!</v>
      </c>
      <c r="Y106" s="27" t="e">
        <f>IF($B$11&gt;10,Y99-Y102-Y104,"")</f>
        <v>#DIV/0!</v>
      </c>
      <c r="Z106" s="27" t="e">
        <f>IF($B$11&gt;11,Z99-Z102-Z104,"")</f>
        <v>#DIV/0!</v>
      </c>
      <c r="AA106" s="27" t="e">
        <f>IF($B$11&gt;12,AA99-AA102-AA104,"")</f>
        <v>#DIV/0!</v>
      </c>
      <c r="AB106" s="27" t="e">
        <f>IF($B$11&gt;13,AB99-AB102-AB104,"")</f>
        <v>#DIV/0!</v>
      </c>
      <c r="AC106" s="27" t="e">
        <f>IF($B$11&gt;14,AC99-AC102-AC104,"")</f>
        <v>#DIV/0!</v>
      </c>
    </row>
    <row r="107" spans="1:29" ht="12.75" customHeight="1" x14ac:dyDescent="0.25">
      <c r="M107" s="268"/>
      <c r="N107" s="269"/>
      <c r="O107" s="269"/>
      <c r="P107" s="269"/>
      <c r="Q107" s="269"/>
      <c r="R107" s="269"/>
      <c r="S107" s="269"/>
      <c r="T107" s="269"/>
      <c r="U107" s="269"/>
      <c r="V107" s="269"/>
      <c r="W107" s="314"/>
      <c r="X107" s="314"/>
      <c r="Y107" s="314"/>
      <c r="Z107" s="314"/>
      <c r="AA107" s="314"/>
      <c r="AB107" s="314"/>
      <c r="AC107" s="314"/>
    </row>
    <row r="108" spans="1:29" ht="12.75" customHeight="1" x14ac:dyDescent="0.25">
      <c r="A108" s="7" t="s">
        <v>80</v>
      </c>
      <c r="M108" s="268"/>
      <c r="N108" s="269"/>
      <c r="O108" s="269"/>
      <c r="P108" s="269"/>
      <c r="Q108" s="269"/>
      <c r="R108" s="269"/>
      <c r="S108" s="269"/>
      <c r="T108" s="269"/>
      <c r="U108" s="269"/>
      <c r="V108" s="269"/>
      <c r="W108" s="314"/>
      <c r="X108" s="314"/>
      <c r="Y108" s="314"/>
      <c r="Z108" s="314"/>
      <c r="AA108" s="314"/>
      <c r="AB108" s="314"/>
      <c r="AC108" s="314"/>
    </row>
    <row r="109" spans="1:29" ht="12.75" customHeight="1" x14ac:dyDescent="0.25">
      <c r="L109" s="83">
        <v>0.25800000000000001</v>
      </c>
      <c r="M109" s="268"/>
      <c r="N109" s="269"/>
      <c r="O109" s="269"/>
      <c r="P109" s="269"/>
      <c r="Q109" s="269"/>
      <c r="R109" s="269"/>
      <c r="S109" s="269"/>
      <c r="T109" s="269"/>
      <c r="U109" s="269"/>
      <c r="V109" s="269"/>
      <c r="W109" s="314"/>
      <c r="X109" s="314"/>
      <c r="Y109" s="314"/>
      <c r="Z109" s="314"/>
      <c r="AA109" s="314"/>
      <c r="AB109" s="314"/>
      <c r="AC109" s="314"/>
    </row>
    <row r="110" spans="1:29" ht="12.75" customHeight="1" x14ac:dyDescent="0.25">
      <c r="A110" s="4" t="s">
        <v>81</v>
      </c>
      <c r="C110" s="255"/>
      <c r="D110" s="26"/>
      <c r="E110" s="26"/>
      <c r="F110" s="26"/>
      <c r="G110" s="26"/>
      <c r="H110" s="26"/>
      <c r="I110" s="26"/>
      <c r="J110" s="26"/>
      <c r="M110" s="268"/>
      <c r="N110" s="269">
        <f>N106*$L$109</f>
        <v>0</v>
      </c>
      <c r="O110" s="269" t="e">
        <f t="shared" ref="O110:U110" si="41">IF(O106&gt;0,O106*$L$109,0)</f>
        <v>#DIV/0!</v>
      </c>
      <c r="P110" s="269" t="e">
        <f t="shared" si="41"/>
        <v>#DIV/0!</v>
      </c>
      <c r="Q110" s="269" t="e">
        <f t="shared" si="41"/>
        <v>#DIV/0!</v>
      </c>
      <c r="R110" s="269" t="e">
        <f t="shared" si="41"/>
        <v>#DIV/0!</v>
      </c>
      <c r="S110" s="269" t="e">
        <f t="shared" si="41"/>
        <v>#DIV/0!</v>
      </c>
      <c r="T110" s="269" t="e">
        <f t="shared" si="41"/>
        <v>#DIV/0!</v>
      </c>
      <c r="U110" s="269" t="e">
        <f t="shared" si="41"/>
        <v>#DIV/0!</v>
      </c>
      <c r="V110" s="31" t="e">
        <f>IF($B$11&gt;7,IF(V106&gt;0,V106*$L$109,0),"")</f>
        <v>#DIV/0!</v>
      </c>
      <c r="W110" s="31" t="e">
        <f>IF($B$11&gt;8,IF(W106&gt;0,W106*$L$109,0),"")</f>
        <v>#DIV/0!</v>
      </c>
      <c r="X110" s="31" t="e">
        <f>IF($B$11&gt;9,IF(X106&gt;0,X106*$L$109,0),"")</f>
        <v>#DIV/0!</v>
      </c>
      <c r="Y110" s="31" t="e">
        <f>IF($B$11&gt;10,IF(Y106&gt;0,Y106*$L$109,0),"")</f>
        <v>#DIV/0!</v>
      </c>
      <c r="Z110" s="31" t="e">
        <f>IF($B$11&gt;11,IF(Z106&gt;0,Z106*$L$109,0),"")</f>
        <v>#DIV/0!</v>
      </c>
      <c r="AA110" s="31" t="e">
        <f>IF($B$11&gt;12,IF(AA106&gt;0,AA106*$L$109,0),"")</f>
        <v>#DIV/0!</v>
      </c>
      <c r="AB110" s="31" t="e">
        <f>IF($B$11&gt;13,IF(AB106&gt;0,AB106*$L$109,0),"")</f>
        <v>#DIV/0!</v>
      </c>
      <c r="AC110" s="31" t="e">
        <f>IF($B$11&gt;14,IF(AC106&gt;0,AC106*$L$109,0),"")</f>
        <v>#DIV/0!</v>
      </c>
    </row>
    <row r="111" spans="1:29" s="23" customFormat="1" ht="12.75" customHeight="1" x14ac:dyDescent="0.2">
      <c r="A111" s="23" t="s">
        <v>82</v>
      </c>
      <c r="N111" s="27">
        <f t="shared" ref="N111:U111" si="42">N99-N110</f>
        <v>0</v>
      </c>
      <c r="O111" s="27" t="e">
        <f t="shared" si="42"/>
        <v>#DIV/0!</v>
      </c>
      <c r="P111" s="27" t="e">
        <f t="shared" si="42"/>
        <v>#DIV/0!</v>
      </c>
      <c r="Q111" s="27" t="e">
        <f t="shared" si="42"/>
        <v>#DIV/0!</v>
      </c>
      <c r="R111" s="27" t="e">
        <f t="shared" si="42"/>
        <v>#DIV/0!</v>
      </c>
      <c r="S111" s="27" t="e">
        <f t="shared" si="42"/>
        <v>#DIV/0!</v>
      </c>
      <c r="T111" s="27" t="e">
        <f t="shared" si="42"/>
        <v>#DIV/0!</v>
      </c>
      <c r="U111" s="27" t="e">
        <f t="shared" si="42"/>
        <v>#DIV/0!</v>
      </c>
      <c r="V111" s="27" t="e">
        <f>IF($B$11&gt;7,V99-V110,"")</f>
        <v>#DIV/0!</v>
      </c>
      <c r="W111" s="27" t="e">
        <f>IF($B$11&gt;8,W99-W110,"")</f>
        <v>#DIV/0!</v>
      </c>
      <c r="X111" s="27" t="e">
        <f>IF($B$11&gt;9,X99-X110,"")</f>
        <v>#DIV/0!</v>
      </c>
      <c r="Y111" s="27" t="e">
        <f>IF($B$11&gt;10,Y99-Y110,"")</f>
        <v>#DIV/0!</v>
      </c>
      <c r="Z111" s="27" t="e">
        <f>IF($B$11&gt;11,Z99-Z110,"")</f>
        <v>#DIV/0!</v>
      </c>
      <c r="AA111" s="27" t="e">
        <f>IF($B$11&gt;12,AA99-AA110,"")</f>
        <v>#DIV/0!</v>
      </c>
      <c r="AB111" s="27" t="e">
        <f>IF($B$11&gt;13,AB99-AB110,"")</f>
        <v>#DIV/0!</v>
      </c>
      <c r="AC111" s="27" t="e">
        <f>IF($B$11&gt;14,AC99-AC110,"")</f>
        <v>#DIV/0!</v>
      </c>
    </row>
    <row r="112" spans="1:29" s="23" customFormat="1" ht="12.75" customHeight="1" x14ac:dyDescent="0.2">
      <c r="N112" s="27"/>
      <c r="O112" s="27"/>
      <c r="P112" s="27"/>
      <c r="Q112" s="27"/>
      <c r="R112" s="27"/>
      <c r="S112" s="27"/>
      <c r="T112" s="27"/>
      <c r="U112" s="27"/>
      <c r="V112" s="27"/>
      <c r="W112" s="27"/>
      <c r="X112" s="27"/>
      <c r="Y112" s="27"/>
      <c r="Z112" s="27"/>
      <c r="AA112" s="27"/>
      <c r="AB112" s="27"/>
      <c r="AC112" s="27"/>
    </row>
    <row r="113" spans="1:30" s="23" customFormat="1" ht="12.75" customHeight="1" x14ac:dyDescent="0.2">
      <c r="A113" s="23" t="s">
        <v>83</v>
      </c>
      <c r="N113" s="27">
        <f>N111+N87+N94-N23</f>
        <v>0</v>
      </c>
      <c r="O113" s="27" t="e">
        <f t="shared" ref="O113:U113" si="43">+O111+O87+O94</f>
        <v>#DIV/0!</v>
      </c>
      <c r="P113" s="27" t="e">
        <f t="shared" si="43"/>
        <v>#DIV/0!</v>
      </c>
      <c r="Q113" s="27" t="e">
        <f t="shared" si="43"/>
        <v>#DIV/0!</v>
      </c>
      <c r="R113" s="27" t="e">
        <f t="shared" si="43"/>
        <v>#DIV/0!</v>
      </c>
      <c r="S113" s="27" t="e">
        <f t="shared" si="43"/>
        <v>#DIV/0!</v>
      </c>
      <c r="T113" s="27" t="e">
        <f t="shared" si="43"/>
        <v>#DIV/0!</v>
      </c>
      <c r="U113" s="27" t="e">
        <f t="shared" si="43"/>
        <v>#DIV/0!</v>
      </c>
      <c r="V113" s="27" t="e">
        <f>IF($B$11&gt;7,V111+V87+V94,"")</f>
        <v>#DIV/0!</v>
      </c>
      <c r="W113" s="27" t="e">
        <f>IF($B$11&gt;8,+W111+W87+W94,"")</f>
        <v>#DIV/0!</v>
      </c>
      <c r="X113" s="27" t="e">
        <f>IF($B$11&gt;9,+X111+X87+X94,"")</f>
        <v>#DIV/0!</v>
      </c>
      <c r="Y113" s="27" t="e">
        <f>IF($B$11&gt;10,+Y111+Y87+Y94,"")</f>
        <v>#DIV/0!</v>
      </c>
      <c r="Z113" s="27" t="e">
        <f>IF($B$11&gt;11,+Z111+Z87+Z94,"")</f>
        <v>#DIV/0!</v>
      </c>
      <c r="AA113" s="27" t="e">
        <f>IF($B$11&gt;12,+AA111+AA87+AA94,"")</f>
        <v>#DIV/0!</v>
      </c>
      <c r="AB113" s="27" t="e">
        <f>IF($B$11&gt;13,+AB111+AB87+AB94,"")</f>
        <v>#DIV/0!</v>
      </c>
      <c r="AC113" s="27" t="e">
        <f>IF($B$11&gt;14,+AC111+AC87+AC94,"")</f>
        <v>#DIV/0!</v>
      </c>
      <c r="AD113" s="28"/>
    </row>
    <row r="114" spans="1:30" ht="12.75" customHeight="1" thickBot="1" x14ac:dyDescent="0.3">
      <c r="M114" s="268"/>
      <c r="N114" s="269"/>
      <c r="O114" s="269"/>
      <c r="P114" s="269"/>
      <c r="Q114" s="269"/>
      <c r="R114" s="269"/>
      <c r="S114" s="269"/>
      <c r="T114" s="269"/>
      <c r="U114" s="269"/>
      <c r="V114" s="269"/>
      <c r="W114" s="314"/>
      <c r="X114" s="314"/>
      <c r="Y114" s="314"/>
      <c r="Z114" s="314"/>
      <c r="AA114" s="314"/>
      <c r="AB114" s="314"/>
      <c r="AC114" s="314"/>
    </row>
    <row r="115" spans="1:30" ht="24.95" customHeight="1" thickBot="1" x14ac:dyDescent="0.3">
      <c r="A115" s="319" t="s">
        <v>84</v>
      </c>
      <c r="B115" s="320"/>
      <c r="C115" s="320"/>
      <c r="D115" s="321"/>
      <c r="E115" s="321"/>
      <c r="F115" s="321"/>
      <c r="G115" s="321"/>
      <c r="H115" s="321"/>
      <c r="I115" s="321"/>
      <c r="J115" s="321"/>
      <c r="K115" s="321"/>
      <c r="L115" s="322" t="e">
        <f>IRR(N113:AC113,0%)</f>
        <v>#VALUE!</v>
      </c>
      <c r="M115" s="323"/>
      <c r="N115" s="324"/>
      <c r="O115" s="81"/>
      <c r="P115" s="81"/>
      <c r="Q115" s="81"/>
      <c r="R115" s="81"/>
      <c r="S115" s="81"/>
      <c r="T115" s="81"/>
      <c r="U115" s="81"/>
      <c r="V115" s="81"/>
      <c r="W115" s="82"/>
      <c r="X115" s="82"/>
      <c r="Y115" s="82"/>
      <c r="Z115" s="82"/>
      <c r="AA115" s="314"/>
      <c r="AB115" s="314"/>
      <c r="AC115" s="314"/>
    </row>
    <row r="116" spans="1:30" ht="12.75" customHeight="1" x14ac:dyDescent="0.25">
      <c r="M116" s="268"/>
      <c r="N116" s="268"/>
      <c r="O116" s="268"/>
      <c r="P116" s="268"/>
      <c r="Q116" s="268"/>
      <c r="R116" s="268"/>
      <c r="S116" s="268"/>
      <c r="T116" s="268"/>
      <c r="U116" s="268"/>
      <c r="V116" s="268"/>
      <c r="W116" s="26"/>
      <c r="X116" s="26"/>
      <c r="Y116" s="26"/>
      <c r="Z116" s="26"/>
      <c r="AA116" s="314"/>
      <c r="AB116" s="314"/>
      <c r="AC116" s="314"/>
    </row>
    <row r="117" spans="1:30" ht="12.75" customHeight="1" x14ac:dyDescent="0.25">
      <c r="M117" s="268"/>
      <c r="N117" s="268"/>
      <c r="O117" s="268"/>
      <c r="P117" s="268"/>
      <c r="Q117" s="268"/>
      <c r="R117" s="268"/>
      <c r="S117" s="268"/>
      <c r="T117" s="268"/>
      <c r="U117" s="268"/>
      <c r="V117" s="268"/>
      <c r="W117" s="26"/>
      <c r="X117" s="26"/>
      <c r="Y117" s="26"/>
      <c r="Z117" s="26"/>
      <c r="AA117" s="314"/>
      <c r="AB117" s="314"/>
      <c r="AC117" s="314"/>
    </row>
    <row r="118" spans="1:30" ht="12.75" customHeight="1" x14ac:dyDescent="0.25">
      <c r="A118" s="23" t="s">
        <v>85</v>
      </c>
      <c r="M118" s="268"/>
      <c r="N118" s="27" t="e">
        <f>-$E$29-N84</f>
        <v>#DIV/0!</v>
      </c>
      <c r="O118" s="27" t="e">
        <f t="shared" ref="O118:U118" si="44">+O111+O87-O95</f>
        <v>#DIV/0!</v>
      </c>
      <c r="P118" s="27" t="e">
        <f t="shared" si="44"/>
        <v>#DIV/0!</v>
      </c>
      <c r="Q118" s="27" t="e">
        <f t="shared" si="44"/>
        <v>#DIV/0!</v>
      </c>
      <c r="R118" s="27" t="e">
        <f t="shared" si="44"/>
        <v>#DIV/0!</v>
      </c>
      <c r="S118" s="27" t="e">
        <f t="shared" si="44"/>
        <v>#DIV/0!</v>
      </c>
      <c r="T118" s="27" t="e">
        <f t="shared" si="44"/>
        <v>#DIV/0!</v>
      </c>
      <c r="U118" s="27" t="e">
        <f t="shared" si="44"/>
        <v>#DIV/0!</v>
      </c>
      <c r="V118" s="27" t="e">
        <f>IF($B$11&gt;7,+V111+V87-V95,"")</f>
        <v>#DIV/0!</v>
      </c>
      <c r="W118" s="27" t="e">
        <f>IF($B$11&gt;8,+W111+W87-W95,"")</f>
        <v>#DIV/0!</v>
      </c>
      <c r="X118" s="27" t="e">
        <f>IF($B$11&gt;9,+X111+X87-X95,"")</f>
        <v>#DIV/0!</v>
      </c>
      <c r="Y118" s="27" t="e">
        <f>IF($B$11&gt;10,+Y111+Y87-Y95,"")</f>
        <v>#DIV/0!</v>
      </c>
      <c r="Z118" s="27" t="e">
        <f>IF($B$11&gt;11,+Z111+Z87-Z95,"")</f>
        <v>#DIV/0!</v>
      </c>
      <c r="AA118" s="27" t="e">
        <f>IF($B$11&gt;12,+AA111+AA87-AA95,"")</f>
        <v>#DIV/0!</v>
      </c>
      <c r="AB118" s="27" t="e">
        <f>IF($B$11&gt;13,+AB111+AB87-AB95,"")</f>
        <v>#DIV/0!</v>
      </c>
      <c r="AC118" s="27" t="e">
        <f>IF($B$11&gt;14,+AC111+AC87-AC95,"")</f>
        <v>#DIV/0!</v>
      </c>
      <c r="AD118" s="31"/>
    </row>
    <row r="119" spans="1:30" ht="12.75" customHeight="1" thickBot="1" x14ac:dyDescent="0.3">
      <c r="M119" s="268"/>
      <c r="N119" s="268"/>
      <c r="O119" s="268"/>
      <c r="P119" s="268"/>
      <c r="Q119" s="268"/>
      <c r="R119" s="268"/>
      <c r="S119" s="268"/>
      <c r="T119" s="268"/>
      <c r="U119" s="268"/>
      <c r="V119" s="7"/>
      <c r="W119" s="7"/>
      <c r="X119" s="7"/>
      <c r="Y119" s="7"/>
      <c r="Z119" s="7"/>
      <c r="AA119" s="7"/>
      <c r="AB119" s="7"/>
      <c r="AC119" s="7"/>
      <c r="AD119" s="7"/>
    </row>
    <row r="120" spans="1:30" ht="24.75" customHeight="1" thickBot="1" x14ac:dyDescent="0.3">
      <c r="A120" s="319" t="s">
        <v>86</v>
      </c>
      <c r="B120" s="325"/>
      <c r="C120" s="325"/>
      <c r="D120" s="325"/>
      <c r="E120" s="325"/>
      <c r="F120" s="325"/>
      <c r="G120" s="325"/>
      <c r="H120" s="325"/>
      <c r="I120" s="325"/>
      <c r="J120" s="325"/>
      <c r="K120" s="325"/>
      <c r="L120" s="326" t="e">
        <f>IF(B29=0%,"n.v.t., geen eigen vermogen",IRR(N118:AC118,0%))</f>
        <v>#DIV/0!</v>
      </c>
      <c r="M120" s="268"/>
      <c r="N120" s="268"/>
      <c r="O120" s="327"/>
      <c r="P120" s="268"/>
      <c r="Q120" s="268"/>
      <c r="R120" s="268"/>
      <c r="S120" s="268"/>
      <c r="T120" s="268"/>
      <c r="U120" s="268"/>
      <c r="V120" s="7"/>
      <c r="W120" s="7"/>
      <c r="X120" s="7"/>
      <c r="Y120" s="7"/>
      <c r="Z120" s="7"/>
      <c r="AA120" s="7"/>
      <c r="AB120" s="7"/>
      <c r="AC120" s="7"/>
    </row>
    <row r="121" spans="1:30" ht="12.75" customHeight="1" x14ac:dyDescent="0.25">
      <c r="M121" s="268"/>
      <c r="N121" s="268"/>
      <c r="O121" s="268"/>
      <c r="P121" s="268"/>
      <c r="Q121" s="268"/>
      <c r="R121" s="268"/>
      <c r="S121" s="268"/>
      <c r="T121" s="268"/>
      <c r="U121" s="268"/>
      <c r="V121" s="7"/>
      <c r="W121" s="7"/>
      <c r="X121" s="7"/>
      <c r="Y121" s="7"/>
      <c r="Z121" s="7"/>
      <c r="AA121" s="7"/>
      <c r="AB121" s="7"/>
      <c r="AC121" s="7"/>
    </row>
    <row r="122" spans="1:30" ht="12.75" customHeight="1" x14ac:dyDescent="0.25">
      <c r="M122" s="268"/>
      <c r="N122" s="268"/>
      <c r="O122" s="268"/>
      <c r="P122" s="268"/>
      <c r="Q122" s="268"/>
      <c r="R122" s="268"/>
      <c r="S122" s="268"/>
      <c r="T122" s="268"/>
      <c r="U122" s="268"/>
      <c r="V122" s="7"/>
      <c r="W122" s="7"/>
      <c r="X122" s="7"/>
      <c r="Y122" s="7"/>
      <c r="Z122" s="7"/>
      <c r="AA122" s="7"/>
      <c r="AB122" s="7"/>
      <c r="AC122" s="7"/>
    </row>
    <row r="123" spans="1:30" ht="12.75" customHeight="1" x14ac:dyDescent="0.25">
      <c r="A123" s="23" t="s">
        <v>87</v>
      </c>
      <c r="M123" s="268"/>
      <c r="N123" s="268"/>
      <c r="O123" s="42" t="e">
        <f t="shared" ref="O123:U123" si="45">IF($B$29&lt;100%,IF((O94+O95)=0,"n.v.t.",O113/(O94+O95)),"n.v.t.")</f>
        <v>#DIV/0!</v>
      </c>
      <c r="P123" s="42" t="e">
        <f t="shared" si="45"/>
        <v>#DIV/0!</v>
      </c>
      <c r="Q123" s="42" t="e">
        <f t="shared" si="45"/>
        <v>#DIV/0!</v>
      </c>
      <c r="R123" s="42" t="e">
        <f t="shared" si="45"/>
        <v>#DIV/0!</v>
      </c>
      <c r="S123" s="42" t="e">
        <f t="shared" si="45"/>
        <v>#DIV/0!</v>
      </c>
      <c r="T123" s="42" t="e">
        <f t="shared" si="45"/>
        <v>#DIV/0!</v>
      </c>
      <c r="U123" s="42" t="e">
        <f t="shared" si="45"/>
        <v>#DIV/0!</v>
      </c>
      <c r="V123" s="42" t="e">
        <f>IF($B$11&gt;7,IF($B$29&lt;100%,IF((V94+V95)=0,"n.v.t.",V113/(V94+V95)),"n.v.t."),"")</f>
        <v>#DIV/0!</v>
      </c>
      <c r="W123" s="42" t="e">
        <f>IF($B$11&gt;8,IF($B$29&lt;100%,IF((W94+W95)=0,"n.v.t.",W113/(W94+W95)),"n.v.t."),"")</f>
        <v>#DIV/0!</v>
      </c>
      <c r="X123" s="42" t="e">
        <f>IF($B$11&gt;9,IF($B$29&lt;100%,IF((X94+X95)=0,"n.v.t.",X113/(X94+X95)),"n.v.t."),"")</f>
        <v>#DIV/0!</v>
      </c>
      <c r="Y123" s="42" t="e">
        <f>IF($B$11&gt;10,IF($B$29&lt;100%,IF((Y94+Y95)=0,"n.v.t.",Y113/(Y94+Y95)),"n.v.t."),"")</f>
        <v>#DIV/0!</v>
      </c>
      <c r="Z123" s="42" t="e">
        <f>IF($B$11&gt;11,IF($B$29&lt;100%,IF((Z94+Z95)=0,"n.v.t.",Z113/(Z94+Z95)),"n.v.t."),"")</f>
        <v>#DIV/0!</v>
      </c>
      <c r="AA123" s="42" t="e">
        <f>IF($B$11&gt;12,IF($B$29&lt;100%,IF((AA94+AA95)=0,"n.v.t.",AA113/(AA94+AA95)),"n.v.t."),"")</f>
        <v>#DIV/0!</v>
      </c>
      <c r="AB123" s="42" t="e">
        <f>IF($B$11&gt;13,IF($B$29&lt;100%,IF((AB94+AB95)=0,"n.v.t.",AB113/(AB94+AB95)),"n.v.t."),"")</f>
        <v>#DIV/0!</v>
      </c>
      <c r="AC123" s="42" t="e">
        <f>IF($B$11&gt;14,IF($B$29&lt;100%,IF((AC94+AC95)=0,"n.v.t.",AC113/(AC94+AC95)),"n.v.t."),"")</f>
        <v>#DIV/0!</v>
      </c>
    </row>
    <row r="124" spans="1:30" ht="12.75" customHeight="1" thickBot="1" x14ac:dyDescent="0.3">
      <c r="M124" s="268"/>
      <c r="N124" s="268"/>
      <c r="O124" s="268"/>
      <c r="P124" s="268"/>
      <c r="Q124" s="268"/>
      <c r="R124" s="268"/>
      <c r="S124" s="268"/>
      <c r="T124" s="268"/>
      <c r="U124" s="268"/>
      <c r="V124" s="268"/>
      <c r="W124" s="268"/>
      <c r="X124" s="268"/>
      <c r="Y124" s="268"/>
      <c r="Z124" s="268"/>
      <c r="AA124" s="268"/>
      <c r="AB124" s="268"/>
      <c r="AC124" s="268"/>
    </row>
    <row r="125" spans="1:30" ht="24.75" customHeight="1" thickBot="1" x14ac:dyDescent="0.3">
      <c r="A125" s="319" t="s">
        <v>88</v>
      </c>
      <c r="B125" s="328"/>
      <c r="C125" s="328"/>
      <c r="D125" s="329"/>
      <c r="E125" s="329"/>
      <c r="F125" s="329"/>
      <c r="G125" s="329"/>
      <c r="H125" s="329"/>
      <c r="I125" s="329"/>
      <c r="J125" s="329"/>
      <c r="K125" s="329"/>
      <c r="L125" s="330" t="e">
        <f>VLOOKUP(E32,Hulpblad_overig!A39:B53,2,FALSE)</f>
        <v>#DIV/0!</v>
      </c>
      <c r="M125" s="268"/>
      <c r="N125" s="268"/>
      <c r="O125" s="268"/>
      <c r="P125" s="268"/>
      <c r="Q125" s="268"/>
      <c r="R125" s="268"/>
      <c r="S125" s="268"/>
      <c r="T125" s="268"/>
      <c r="U125" s="268"/>
      <c r="V125" s="268"/>
      <c r="W125" s="268"/>
      <c r="X125" s="268"/>
      <c r="Y125" s="268"/>
      <c r="Z125" s="268"/>
      <c r="AA125" s="268"/>
      <c r="AB125" s="268"/>
      <c r="AC125" s="268"/>
    </row>
    <row r="126" spans="1:30" ht="12.75" customHeight="1" x14ac:dyDescent="0.25">
      <c r="M126" s="268"/>
      <c r="N126" s="268"/>
      <c r="O126" s="268"/>
      <c r="P126" s="268"/>
      <c r="Q126" s="268"/>
      <c r="R126" s="268"/>
      <c r="S126" s="268"/>
      <c r="T126" s="268"/>
      <c r="U126" s="268"/>
      <c r="V126" s="268"/>
      <c r="W126" s="268"/>
      <c r="X126" s="268"/>
      <c r="Y126" s="268"/>
      <c r="Z126" s="268"/>
      <c r="AA126" s="268"/>
      <c r="AB126" s="268"/>
      <c r="AC126" s="268"/>
    </row>
    <row r="127" spans="1:30" ht="12.75" customHeight="1" x14ac:dyDescent="0.25">
      <c r="M127" s="268"/>
      <c r="N127" s="268"/>
      <c r="O127" s="268"/>
      <c r="P127" s="268"/>
      <c r="Q127" s="268"/>
      <c r="R127" s="268"/>
      <c r="S127" s="268"/>
      <c r="T127" s="268"/>
      <c r="U127" s="268"/>
      <c r="V127" s="268"/>
      <c r="W127" s="268"/>
      <c r="X127" s="268"/>
      <c r="Y127" s="268"/>
      <c r="Z127" s="268"/>
      <c r="AA127" s="268"/>
      <c r="AB127" s="268"/>
      <c r="AC127" s="268"/>
    </row>
    <row r="128" spans="1:30" ht="12.75" customHeight="1" x14ac:dyDescent="0.25">
      <c r="M128" s="268"/>
      <c r="N128" s="268"/>
      <c r="O128" s="268"/>
      <c r="P128" s="268"/>
      <c r="Q128" s="268"/>
      <c r="R128" s="268"/>
      <c r="S128" s="268"/>
      <c r="T128" s="268"/>
      <c r="U128" s="268"/>
      <c r="V128" s="268"/>
      <c r="W128" s="268"/>
      <c r="X128" s="268"/>
      <c r="Y128" s="268"/>
      <c r="Z128" s="268"/>
      <c r="AA128" s="268"/>
      <c r="AB128" s="268"/>
      <c r="AC128" s="268"/>
    </row>
    <row r="129" spans="1:29" ht="12.75" customHeight="1" x14ac:dyDescent="0.25">
      <c r="A129" s="576"/>
      <c r="B129" s="577"/>
      <c r="C129" s="577"/>
      <c r="D129" s="577"/>
      <c r="E129" s="577"/>
      <c r="F129" s="577"/>
      <c r="G129" s="577"/>
      <c r="H129" s="577"/>
      <c r="I129" s="577"/>
      <c r="J129" s="577"/>
      <c r="K129" s="577"/>
      <c r="L129" s="578"/>
      <c r="M129" s="268"/>
      <c r="N129" s="268"/>
      <c r="O129" s="268"/>
      <c r="P129" s="268"/>
      <c r="Q129" s="268"/>
      <c r="R129" s="268"/>
      <c r="S129" s="268"/>
      <c r="T129" s="268"/>
      <c r="U129" s="268"/>
      <c r="V129" s="268"/>
      <c r="W129" s="268"/>
      <c r="X129" s="268"/>
      <c r="Y129" s="268"/>
      <c r="Z129" s="268"/>
      <c r="AA129" s="268"/>
      <c r="AB129" s="268"/>
      <c r="AC129" s="268"/>
    </row>
    <row r="130" spans="1:29" ht="12.75" customHeight="1" x14ac:dyDescent="0.25">
      <c r="A130" s="579"/>
      <c r="B130" s="580"/>
      <c r="C130" s="580"/>
      <c r="D130" s="580"/>
      <c r="E130" s="580"/>
      <c r="F130" s="580"/>
      <c r="G130" s="580"/>
      <c r="H130" s="580"/>
      <c r="I130" s="580"/>
      <c r="J130" s="580"/>
      <c r="K130" s="580"/>
      <c r="L130" s="581"/>
      <c r="M130" s="268"/>
      <c r="N130" s="268"/>
      <c r="O130" s="268"/>
      <c r="P130" s="268"/>
      <c r="Q130" s="268"/>
      <c r="R130" s="268"/>
      <c r="S130" s="268"/>
      <c r="T130" s="268"/>
      <c r="U130" s="268"/>
      <c r="V130" s="268"/>
      <c r="W130" s="268"/>
      <c r="X130" s="268"/>
      <c r="Y130" s="268"/>
      <c r="Z130" s="268"/>
      <c r="AA130" s="268"/>
      <c r="AB130" s="268"/>
      <c r="AC130" s="268"/>
    </row>
    <row r="131" spans="1:29" ht="12.75" customHeight="1" x14ac:dyDescent="0.25">
      <c r="A131" s="579"/>
      <c r="B131" s="580"/>
      <c r="C131" s="580"/>
      <c r="D131" s="580"/>
      <c r="E131" s="580"/>
      <c r="F131" s="580"/>
      <c r="G131" s="580"/>
      <c r="H131" s="580"/>
      <c r="I131" s="580"/>
      <c r="J131" s="580"/>
      <c r="K131" s="580"/>
      <c r="L131" s="581"/>
      <c r="M131" s="268"/>
      <c r="N131" s="268"/>
      <c r="O131" s="268"/>
      <c r="P131" s="268"/>
      <c r="Q131" s="268"/>
      <c r="R131" s="268"/>
      <c r="S131" s="268"/>
      <c r="T131" s="268"/>
      <c r="U131" s="268"/>
      <c r="V131" s="268"/>
      <c r="W131" s="268"/>
      <c r="X131" s="268"/>
      <c r="Y131" s="268"/>
      <c r="Z131" s="268"/>
      <c r="AA131" s="268"/>
      <c r="AB131" s="268"/>
      <c r="AC131" s="268"/>
    </row>
    <row r="132" spans="1:29" ht="12.75" customHeight="1" x14ac:dyDescent="0.25">
      <c r="A132" s="579"/>
      <c r="B132" s="580"/>
      <c r="C132" s="580"/>
      <c r="D132" s="580"/>
      <c r="E132" s="580"/>
      <c r="F132" s="580"/>
      <c r="G132" s="580"/>
      <c r="H132" s="580"/>
      <c r="I132" s="580"/>
      <c r="J132" s="580"/>
      <c r="K132" s="580"/>
      <c r="L132" s="581"/>
      <c r="M132" s="268"/>
      <c r="N132" s="268"/>
      <c r="O132" s="268"/>
      <c r="P132" s="268"/>
      <c r="Q132" s="268"/>
      <c r="R132" s="268"/>
      <c r="S132" s="268"/>
      <c r="T132" s="268"/>
      <c r="U132" s="268"/>
      <c r="V132" s="268"/>
      <c r="W132" s="268"/>
      <c r="X132" s="268"/>
      <c r="Y132" s="268"/>
      <c r="Z132" s="268"/>
      <c r="AA132" s="268"/>
      <c r="AB132" s="268"/>
      <c r="AC132" s="268"/>
    </row>
    <row r="133" spans="1:29" ht="12.75" customHeight="1" x14ac:dyDescent="0.25">
      <c r="A133" s="579"/>
      <c r="B133" s="580"/>
      <c r="C133" s="580"/>
      <c r="D133" s="580"/>
      <c r="E133" s="580"/>
      <c r="F133" s="580"/>
      <c r="G133" s="580"/>
      <c r="H133" s="580"/>
      <c r="I133" s="580"/>
      <c r="J133" s="580"/>
      <c r="K133" s="580"/>
      <c r="L133" s="581"/>
      <c r="M133" s="268"/>
      <c r="N133" s="268"/>
      <c r="O133" s="268"/>
      <c r="P133" s="268"/>
      <c r="Q133" s="268"/>
      <c r="R133" s="268"/>
      <c r="S133" s="268"/>
      <c r="T133" s="268"/>
      <c r="U133" s="268"/>
      <c r="V133" s="268"/>
      <c r="W133" s="268"/>
      <c r="X133" s="268"/>
      <c r="Y133" s="268"/>
      <c r="Z133" s="268"/>
      <c r="AA133" s="268"/>
      <c r="AB133" s="268"/>
      <c r="AC133" s="268"/>
    </row>
    <row r="134" spans="1:29" ht="12.75" customHeight="1" x14ac:dyDescent="0.25">
      <c r="A134" s="579"/>
      <c r="B134" s="580"/>
      <c r="C134" s="580"/>
      <c r="D134" s="580"/>
      <c r="E134" s="580"/>
      <c r="F134" s="580"/>
      <c r="G134" s="580"/>
      <c r="H134" s="580"/>
      <c r="I134" s="580"/>
      <c r="J134" s="580"/>
      <c r="K134" s="580"/>
      <c r="L134" s="581"/>
      <c r="M134" s="268"/>
      <c r="N134" s="268"/>
      <c r="O134" s="268"/>
      <c r="P134" s="268"/>
      <c r="Q134" s="268"/>
      <c r="R134" s="268"/>
      <c r="S134" s="268"/>
      <c r="T134" s="268"/>
      <c r="U134" s="268"/>
      <c r="V134" s="268"/>
      <c r="W134" s="268"/>
      <c r="X134" s="268"/>
      <c r="Y134" s="268"/>
      <c r="Z134" s="268"/>
      <c r="AA134" s="268"/>
      <c r="AB134" s="268"/>
      <c r="AC134" s="268"/>
    </row>
    <row r="135" spans="1:29" ht="12.75" customHeight="1" x14ac:dyDescent="0.25">
      <c r="A135" s="582"/>
      <c r="B135" s="583"/>
      <c r="C135" s="583"/>
      <c r="D135" s="583"/>
      <c r="E135" s="583"/>
      <c r="F135" s="583"/>
      <c r="G135" s="583"/>
      <c r="H135" s="583"/>
      <c r="I135" s="583"/>
      <c r="J135" s="583"/>
      <c r="K135" s="583"/>
      <c r="L135" s="584"/>
      <c r="M135" s="268"/>
      <c r="N135" s="268"/>
      <c r="O135" s="268"/>
      <c r="P135" s="268"/>
      <c r="Q135" s="268"/>
      <c r="R135" s="268"/>
      <c r="S135" s="268"/>
      <c r="T135" s="268"/>
      <c r="U135" s="268"/>
      <c r="V135" s="268"/>
      <c r="W135" s="268"/>
      <c r="X135" s="268"/>
      <c r="Y135" s="268"/>
      <c r="Z135" s="268"/>
      <c r="AA135" s="268"/>
      <c r="AB135" s="268"/>
      <c r="AC135" s="268"/>
    </row>
    <row r="136" spans="1:29" x14ac:dyDescent="0.25">
      <c r="M136" s="268"/>
      <c r="N136" s="268"/>
      <c r="O136" s="268"/>
      <c r="P136" s="268"/>
      <c r="Q136" s="268"/>
      <c r="R136" s="268"/>
      <c r="S136" s="268"/>
      <c r="T136" s="268"/>
      <c r="U136" s="268"/>
      <c r="V136" s="268"/>
      <c r="W136" s="268"/>
      <c r="X136" s="268"/>
      <c r="Y136" s="268"/>
      <c r="Z136" s="268"/>
      <c r="AA136" s="268"/>
      <c r="AB136" s="268"/>
      <c r="AC136" s="268"/>
    </row>
    <row r="137" spans="1:29" x14ac:dyDescent="0.25">
      <c r="M137" s="268"/>
      <c r="N137" s="268"/>
      <c r="O137" s="268"/>
      <c r="P137" s="268"/>
      <c r="Q137" s="268"/>
      <c r="R137" s="268"/>
      <c r="S137" s="268"/>
      <c r="T137" s="268"/>
      <c r="U137" s="268"/>
      <c r="V137" s="268"/>
      <c r="W137" s="268"/>
      <c r="X137" s="268"/>
      <c r="Y137" s="268"/>
      <c r="Z137" s="268"/>
      <c r="AA137" s="268"/>
      <c r="AB137" s="268"/>
      <c r="AC137" s="268"/>
    </row>
    <row r="138" spans="1:29" x14ac:dyDescent="0.25">
      <c r="M138" s="268"/>
      <c r="N138" s="268"/>
      <c r="O138" s="268"/>
      <c r="P138" s="268"/>
      <c r="Q138" s="268"/>
      <c r="R138" s="268"/>
      <c r="S138" s="268"/>
      <c r="T138" s="268"/>
      <c r="U138" s="268"/>
      <c r="V138" s="268"/>
      <c r="W138" s="268"/>
      <c r="X138" s="268"/>
      <c r="Y138" s="268"/>
      <c r="Z138" s="268"/>
      <c r="AA138" s="268"/>
      <c r="AB138" s="268"/>
      <c r="AC138" s="268"/>
    </row>
    <row r="139" spans="1:29" x14ac:dyDescent="0.25">
      <c r="M139" s="268"/>
      <c r="N139" s="268"/>
      <c r="O139" s="268"/>
      <c r="P139" s="268"/>
      <c r="Q139" s="268"/>
      <c r="R139" s="268"/>
      <c r="S139" s="268"/>
      <c r="T139" s="268"/>
      <c r="U139" s="268"/>
      <c r="V139" s="268"/>
      <c r="W139" s="268"/>
      <c r="X139" s="268"/>
      <c r="Y139" s="268"/>
      <c r="Z139" s="268"/>
      <c r="AA139" s="268"/>
      <c r="AB139" s="268"/>
      <c r="AC139" s="268"/>
    </row>
    <row r="140" spans="1:29" x14ac:dyDescent="0.25">
      <c r="M140" s="268"/>
      <c r="N140" s="268"/>
      <c r="O140" s="268"/>
      <c r="P140" s="268"/>
      <c r="Q140" s="268"/>
      <c r="R140" s="268"/>
      <c r="S140" s="268"/>
      <c r="T140" s="268"/>
      <c r="U140" s="268"/>
      <c r="V140" s="268"/>
      <c r="W140" s="268"/>
      <c r="X140" s="268"/>
      <c r="Y140" s="268"/>
      <c r="Z140" s="268"/>
      <c r="AA140" s="268"/>
      <c r="AB140" s="268"/>
      <c r="AC140" s="268"/>
    </row>
    <row r="141" spans="1:29" x14ac:dyDescent="0.25">
      <c r="M141" s="268"/>
      <c r="N141" s="268"/>
      <c r="O141" s="268"/>
      <c r="P141" s="268"/>
      <c r="Q141" s="268"/>
      <c r="R141" s="268"/>
      <c r="S141" s="268"/>
      <c r="T141" s="268"/>
      <c r="U141" s="268"/>
      <c r="V141" s="268"/>
      <c r="W141" s="268"/>
      <c r="X141" s="268"/>
      <c r="Y141" s="268"/>
      <c r="Z141" s="268"/>
      <c r="AA141" s="268"/>
      <c r="AB141" s="268"/>
      <c r="AC141" s="268"/>
    </row>
    <row r="142" spans="1:29" x14ac:dyDescent="0.25">
      <c r="M142" s="268"/>
      <c r="N142" s="268"/>
      <c r="O142" s="268"/>
      <c r="P142" s="268"/>
      <c r="Q142" s="268"/>
      <c r="R142" s="268"/>
      <c r="S142" s="268"/>
      <c r="T142" s="268"/>
      <c r="U142" s="268"/>
      <c r="V142" s="268"/>
      <c r="W142" s="268"/>
      <c r="X142" s="268"/>
      <c r="Y142" s="268"/>
      <c r="Z142" s="268"/>
      <c r="AA142" s="268"/>
      <c r="AB142" s="268"/>
      <c r="AC142" s="268"/>
    </row>
    <row r="143" spans="1:29" x14ac:dyDescent="0.25">
      <c r="M143" s="268"/>
      <c r="N143" s="268"/>
      <c r="O143" s="268"/>
      <c r="P143" s="268"/>
      <c r="Q143" s="268"/>
      <c r="R143" s="268"/>
      <c r="S143" s="268"/>
      <c r="T143" s="268"/>
      <c r="U143" s="268"/>
      <c r="V143" s="268"/>
      <c r="W143" s="268"/>
      <c r="X143" s="268"/>
      <c r="Y143" s="268"/>
      <c r="Z143" s="268"/>
      <c r="AA143" s="268"/>
      <c r="AB143" s="268"/>
      <c r="AC143" s="268"/>
    </row>
    <row r="144" spans="1:29" x14ac:dyDescent="0.25">
      <c r="M144" s="268"/>
      <c r="N144" s="268"/>
      <c r="O144" s="268"/>
      <c r="P144" s="268"/>
      <c r="Q144" s="268"/>
      <c r="R144" s="268"/>
      <c r="S144" s="268"/>
      <c r="T144" s="268"/>
      <c r="U144" s="268"/>
      <c r="V144" s="268"/>
      <c r="W144" s="268"/>
      <c r="X144" s="268"/>
      <c r="Y144" s="268"/>
      <c r="Z144" s="268"/>
      <c r="AA144" s="268"/>
      <c r="AB144" s="268"/>
      <c r="AC144" s="268"/>
    </row>
    <row r="145" spans="13:29" x14ac:dyDescent="0.25">
      <c r="M145" s="268"/>
      <c r="N145" s="268"/>
      <c r="O145" s="268"/>
      <c r="P145" s="268"/>
      <c r="Q145" s="268"/>
      <c r="R145" s="268"/>
      <c r="S145" s="268"/>
      <c r="T145" s="268"/>
      <c r="U145" s="268"/>
      <c r="V145" s="268"/>
      <c r="W145" s="268"/>
      <c r="X145" s="268"/>
      <c r="Y145" s="268"/>
      <c r="Z145" s="268"/>
      <c r="AA145" s="268"/>
      <c r="AB145" s="268"/>
      <c r="AC145" s="268"/>
    </row>
    <row r="146" spans="13:29" x14ac:dyDescent="0.25">
      <c r="M146" s="268"/>
      <c r="N146" s="268"/>
      <c r="O146" s="268"/>
      <c r="P146" s="268"/>
      <c r="Q146" s="268"/>
      <c r="R146" s="268"/>
      <c r="S146" s="268"/>
      <c r="T146" s="268"/>
      <c r="U146" s="268"/>
      <c r="V146" s="268"/>
      <c r="W146" s="268"/>
      <c r="X146" s="268"/>
      <c r="Y146" s="268"/>
      <c r="Z146" s="268"/>
      <c r="AA146" s="268"/>
      <c r="AB146" s="268"/>
      <c r="AC146" s="268"/>
    </row>
    <row r="147" spans="13:29" x14ac:dyDescent="0.25">
      <c r="M147" s="268"/>
      <c r="N147" s="268"/>
      <c r="O147" s="268"/>
      <c r="P147" s="268"/>
      <c r="Q147" s="268"/>
      <c r="R147" s="268"/>
      <c r="S147" s="268"/>
      <c r="T147" s="268"/>
      <c r="U147" s="268"/>
      <c r="V147" s="268"/>
      <c r="W147" s="268"/>
      <c r="X147" s="268"/>
      <c r="Y147" s="268"/>
      <c r="Z147" s="268"/>
      <c r="AA147" s="268"/>
      <c r="AB147" s="268"/>
      <c r="AC147" s="268"/>
    </row>
    <row r="148" spans="13:29" x14ac:dyDescent="0.25">
      <c r="M148" s="268"/>
      <c r="N148" s="268"/>
      <c r="O148" s="268"/>
      <c r="P148" s="268"/>
      <c r="Q148" s="268"/>
      <c r="R148" s="268"/>
      <c r="S148" s="268"/>
      <c r="T148" s="268"/>
      <c r="U148" s="268"/>
      <c r="V148" s="268"/>
      <c r="W148" s="268"/>
      <c r="X148" s="268"/>
      <c r="Y148" s="268"/>
      <c r="Z148" s="268"/>
      <c r="AA148" s="268"/>
      <c r="AB148" s="268"/>
      <c r="AC148" s="268"/>
    </row>
  </sheetData>
  <sheetProtection algorithmName="SHA-512" hashValue="NkavC14UG/SR/41JyLTZLMSwaKX7NDfwuQEorHvhwFmImdUincE0jQy/Jw9RSjJip3ICr0teJmdkQo3hrVzKXg==" saltValue="jru+uJoJnaGcBTUPQDbZLQ==" spinCount="100000" sheet="1" objects="1" scenarios="1"/>
  <mergeCells count="58">
    <mergeCell ref="A129:L135"/>
    <mergeCell ref="B78:L78"/>
    <mergeCell ref="B79:L79"/>
    <mergeCell ref="B80:L80"/>
    <mergeCell ref="B83:L83"/>
    <mergeCell ref="B87:C87"/>
    <mergeCell ref="M48:N48"/>
    <mergeCell ref="B49:C49"/>
    <mergeCell ref="H49:J49"/>
    <mergeCell ref="B77:L77"/>
    <mergeCell ref="B59:L59"/>
    <mergeCell ref="B62:L62"/>
    <mergeCell ref="B69:L69"/>
    <mergeCell ref="B70:L70"/>
    <mergeCell ref="B71:L71"/>
    <mergeCell ref="B72:L72"/>
    <mergeCell ref="B73:L73"/>
    <mergeCell ref="B74:L74"/>
    <mergeCell ref="B75:L75"/>
    <mergeCell ref="B76:L76"/>
    <mergeCell ref="B61:L61"/>
    <mergeCell ref="B60:L60"/>
    <mergeCell ref="H51:J53"/>
    <mergeCell ref="L51:L53"/>
    <mergeCell ref="H54:J54"/>
    <mergeCell ref="B46:C47"/>
    <mergeCell ref="E46:E47"/>
    <mergeCell ref="H46:J47"/>
    <mergeCell ref="L46:L47"/>
    <mergeCell ref="B48:C48"/>
    <mergeCell ref="H48:J48"/>
    <mergeCell ref="H42:J43"/>
    <mergeCell ref="L36:L37"/>
    <mergeCell ref="E37:G37"/>
    <mergeCell ref="H37:K37"/>
    <mergeCell ref="L38:L41"/>
    <mergeCell ref="L42:L43"/>
    <mergeCell ref="B31:C31"/>
    <mergeCell ref="H31:J31"/>
    <mergeCell ref="B32:C32"/>
    <mergeCell ref="H32:J32"/>
    <mergeCell ref="H38:J41"/>
    <mergeCell ref="A29:A30"/>
    <mergeCell ref="B20:L20"/>
    <mergeCell ref="B28:C28"/>
    <mergeCell ref="H28:J28"/>
    <mergeCell ref="B6:L6"/>
    <mergeCell ref="B7:L7"/>
    <mergeCell ref="B8:L8"/>
    <mergeCell ref="B9:D9"/>
    <mergeCell ref="B19:L19"/>
    <mergeCell ref="I10:K10"/>
    <mergeCell ref="B15:L15"/>
    <mergeCell ref="B16:L16"/>
    <mergeCell ref="B17:L17"/>
    <mergeCell ref="B18:L18"/>
    <mergeCell ref="B29:C29"/>
    <mergeCell ref="H29:J29"/>
  </mergeCells>
  <conditionalFormatting sqref="C51:C52">
    <cfRule type="expression" dxfId="146" priority="386" stopIfTrue="1">
      <formula>E51="Elektriciteit niet-netlevering"</formula>
    </cfRule>
  </conditionalFormatting>
  <conditionalFormatting sqref="E49:F50">
    <cfRule type="expression" dxfId="145" priority="249" stopIfTrue="1">
      <formula>A49="Elektriciteit niet-netlevering"</formula>
    </cfRule>
  </conditionalFormatting>
  <conditionalFormatting sqref="H44:J44">
    <cfRule type="expression" dxfId="144" priority="288" stopIfTrue="1">
      <formula>OR($E$43=0,A44="Productie afvang en opslag CO₂ (ton/jaar)")</formula>
    </cfRule>
  </conditionalFormatting>
  <conditionalFormatting sqref="H48:J48">
    <cfRule type="expression" dxfId="143" priority="271" stopIfTrue="1">
      <formula>A49="Elektriciteit netlevering"</formula>
    </cfRule>
  </conditionalFormatting>
  <conditionalFormatting sqref="H54:J54">
    <cfRule type="expression" dxfId="142" priority="390">
      <formula>A43="Productie afvang en opslag CO₂ (ton/jaar)"</formula>
    </cfRule>
    <cfRule type="expression" dxfId="141" priority="391" stopIfTrue="1">
      <formula>#REF!="Elektriciteit netlevering"</formula>
    </cfRule>
  </conditionalFormatting>
  <conditionalFormatting sqref="H55:J56">
    <cfRule type="expression" dxfId="140" priority="392" stopIfTrue="1">
      <formula>B10="Geen ETS-correctie"</formula>
    </cfRule>
  </conditionalFormatting>
  <conditionalFormatting sqref="L44">
    <cfRule type="expression" dxfId="139" priority="264" stopIfTrue="1">
      <formula>OR($E$43=0,A44="Productie afvang en opslag CO₂ (ton/jaar)")</formula>
    </cfRule>
  </conditionalFormatting>
  <conditionalFormatting sqref="L54">
    <cfRule type="expression" dxfId="138" priority="247">
      <formula>A43="Productie afvang en opslag CO₂ (ton/jaar)"</formula>
    </cfRule>
  </conditionalFormatting>
  <conditionalFormatting sqref="U59:U62">
    <cfRule type="expression" dxfId="137" priority="152">
      <formula>$B$11=7</formula>
    </cfRule>
  </conditionalFormatting>
  <conditionalFormatting sqref="U69:U83">
    <cfRule type="expression" dxfId="136" priority="1">
      <formula>$B$10=7</formula>
    </cfRule>
  </conditionalFormatting>
  <conditionalFormatting sqref="V59">
    <cfRule type="expression" dxfId="135" priority="169">
      <formula>$B$11&gt;7</formula>
    </cfRule>
  </conditionalFormatting>
  <conditionalFormatting sqref="V59:V62">
    <cfRule type="expression" dxfId="134" priority="161">
      <formula>$B$11=8</formula>
    </cfRule>
    <cfRule type="expression" dxfId="133" priority="163">
      <formula>$B$11&gt;7</formula>
    </cfRule>
  </conditionalFormatting>
  <conditionalFormatting sqref="V62">
    <cfRule type="expression" dxfId="132" priority="156">
      <formula>$B$11&gt;7</formula>
    </cfRule>
  </conditionalFormatting>
  <conditionalFormatting sqref="V69">
    <cfRule type="expression" dxfId="131" priority="49">
      <formula>B11&gt;7</formula>
    </cfRule>
    <cfRule type="expression" dxfId="130" priority="48">
      <formula>B11=8</formula>
    </cfRule>
    <cfRule type="expression" dxfId="129" priority="50">
      <formula>B11&gt;7</formula>
    </cfRule>
  </conditionalFormatting>
  <conditionalFormatting sqref="V70:V82">
    <cfRule type="expression" dxfId="128" priority="65">
      <formula>$B$11=8</formula>
    </cfRule>
    <cfRule type="expression" dxfId="127" priority="66">
      <formula>$B$11&gt;7</formula>
    </cfRule>
  </conditionalFormatting>
  <conditionalFormatting sqref="V83">
    <cfRule type="expression" dxfId="126" priority="23">
      <formula>B11=8</formula>
    </cfRule>
    <cfRule type="expression" dxfId="125" priority="24">
      <formula>B11&gt;7</formula>
    </cfRule>
    <cfRule type="expression" dxfId="124" priority="25">
      <formula>B11&gt;7</formula>
    </cfRule>
  </conditionalFormatting>
  <conditionalFormatting sqref="W59">
    <cfRule type="expression" dxfId="123" priority="151">
      <formula>B11&gt;8</formula>
    </cfRule>
    <cfRule type="expression" dxfId="122" priority="150">
      <formula>B11&gt;8</formula>
    </cfRule>
    <cfRule type="expression" dxfId="121" priority="149">
      <formula>B11=9</formula>
    </cfRule>
  </conditionalFormatting>
  <conditionalFormatting sqref="W60:W61">
    <cfRule type="expression" dxfId="120" priority="142">
      <formula>$B$11=9</formula>
    </cfRule>
    <cfRule type="expression" dxfId="119" priority="141">
      <formula>$B$11&gt;8</formula>
    </cfRule>
  </conditionalFormatting>
  <conditionalFormatting sqref="W62">
    <cfRule type="expression" dxfId="118" priority="138">
      <formula>B11=9</formula>
    </cfRule>
    <cfRule type="expression" dxfId="117" priority="140">
      <formula>B11&gt;8</formula>
    </cfRule>
    <cfRule type="expression" dxfId="116" priority="139">
      <formula>B11&gt;8</formula>
    </cfRule>
  </conditionalFormatting>
  <conditionalFormatting sqref="W69">
    <cfRule type="expression" dxfId="115" priority="45">
      <formula>B11=9</formula>
    </cfRule>
    <cfRule type="expression" dxfId="114" priority="46">
      <formula>B11&gt;8</formula>
    </cfRule>
    <cfRule type="expression" dxfId="113" priority="47">
      <formula>B11&gt;8</formula>
    </cfRule>
  </conditionalFormatting>
  <conditionalFormatting sqref="W70:W82">
    <cfRule type="expression" dxfId="112" priority="64">
      <formula>$B$11&gt;8</formula>
    </cfRule>
    <cfRule type="expression" dxfId="111" priority="63">
      <formula>$B$11=9</formula>
    </cfRule>
  </conditionalFormatting>
  <conditionalFormatting sqref="W83">
    <cfRule type="expression" dxfId="110" priority="22">
      <formula>B11&gt;8</formula>
    </cfRule>
    <cfRule type="expression" dxfId="109" priority="21">
      <formula>B11&gt;8</formula>
    </cfRule>
    <cfRule type="expression" dxfId="108" priority="20">
      <formula>B11=9</formula>
    </cfRule>
  </conditionalFormatting>
  <conditionalFormatting sqref="X59">
    <cfRule type="expression" dxfId="107" priority="133">
      <formula>B11&gt;9</formula>
    </cfRule>
    <cfRule type="expression" dxfId="106" priority="136">
      <formula>B11&gt;9</formula>
    </cfRule>
    <cfRule type="expression" dxfId="105" priority="129">
      <formula>B11=10</formula>
    </cfRule>
  </conditionalFormatting>
  <conditionalFormatting sqref="X60">
    <cfRule type="expression" dxfId="104" priority="131">
      <formula>B11=10</formula>
    </cfRule>
    <cfRule type="expression" dxfId="103" priority="137">
      <formula>$B$11&gt;9</formula>
    </cfRule>
  </conditionalFormatting>
  <conditionalFormatting sqref="X61">
    <cfRule type="expression" dxfId="102" priority="130">
      <formula>B11=10</formula>
    </cfRule>
    <cfRule type="expression" dxfId="101" priority="135">
      <formula>B11&gt;9</formula>
    </cfRule>
  </conditionalFormatting>
  <conditionalFormatting sqref="X62">
    <cfRule type="expression" dxfId="100" priority="132">
      <formula>B11&gt;9</formula>
    </cfRule>
    <cfRule type="expression" dxfId="99" priority="134">
      <formula>B11&gt;9</formula>
    </cfRule>
    <cfRule type="expression" dxfId="98" priority="128">
      <formula>B11=10</formula>
    </cfRule>
  </conditionalFormatting>
  <conditionalFormatting sqref="X69">
    <cfRule type="expression" dxfId="97" priority="41">
      <formula>B11=10</formula>
    </cfRule>
    <cfRule type="expression" dxfId="96" priority="43">
      <formula>B11&gt;9</formula>
    </cfRule>
    <cfRule type="expression" dxfId="95" priority="44">
      <formula>B11&gt;9</formula>
    </cfRule>
  </conditionalFormatting>
  <conditionalFormatting sqref="X70:X82">
    <cfRule type="expression" dxfId="94" priority="62">
      <formula>$B$11&gt;9</formula>
    </cfRule>
    <cfRule type="expression" dxfId="93" priority="61">
      <formula>$B$11=10</formula>
    </cfRule>
  </conditionalFormatting>
  <conditionalFormatting sqref="X83">
    <cfRule type="expression" dxfId="92" priority="17">
      <formula>B11=10</formula>
    </cfRule>
    <cfRule type="expression" dxfId="91" priority="18">
      <formula>B11&gt;9</formula>
    </cfRule>
    <cfRule type="expression" dxfId="90" priority="19">
      <formula>B11&gt;9</formula>
    </cfRule>
  </conditionalFormatting>
  <conditionalFormatting sqref="Y59">
    <cfRule type="expression" dxfId="89" priority="127">
      <formula>B11&gt;10</formula>
    </cfRule>
    <cfRule type="expression" dxfId="88" priority="123">
      <formula>B11&gt;10</formula>
    </cfRule>
    <cfRule type="expression" dxfId="87" priority="121">
      <formula>B11=11</formula>
    </cfRule>
  </conditionalFormatting>
  <conditionalFormatting sqref="Y60">
    <cfRule type="expression" dxfId="86" priority="120">
      <formula>B11=11</formula>
    </cfRule>
    <cfRule type="expression" dxfId="85" priority="126">
      <formula>B11&gt;10</formula>
    </cfRule>
  </conditionalFormatting>
  <conditionalFormatting sqref="Y61">
    <cfRule type="expression" dxfId="84" priority="119">
      <formula>B11=11</formula>
    </cfRule>
    <cfRule type="expression" dxfId="83" priority="125">
      <formula>B11&gt;10</formula>
    </cfRule>
  </conditionalFormatting>
  <conditionalFormatting sqref="Y62">
    <cfRule type="expression" dxfId="82" priority="118">
      <formula>B11=11</formula>
    </cfRule>
    <cfRule type="expression" dxfId="81" priority="124">
      <formula>B11&gt;10</formula>
    </cfRule>
    <cfRule type="expression" dxfId="80" priority="122">
      <formula>B11&gt;10</formula>
    </cfRule>
  </conditionalFormatting>
  <conditionalFormatting sqref="Y69">
    <cfRule type="expression" dxfId="79" priority="39">
      <formula>B11&gt;10</formula>
    </cfRule>
    <cfRule type="expression" dxfId="78" priority="40">
      <formula>B11&gt;10</formula>
    </cfRule>
    <cfRule type="expression" dxfId="77" priority="38">
      <formula>B11=11</formula>
    </cfRule>
  </conditionalFormatting>
  <conditionalFormatting sqref="Y70:Y82">
    <cfRule type="expression" dxfId="76" priority="59">
      <formula>$B$11=11</formula>
    </cfRule>
    <cfRule type="expression" dxfId="75" priority="60">
      <formula>$B$11&gt;10</formula>
    </cfRule>
  </conditionalFormatting>
  <conditionalFormatting sqref="Y83">
    <cfRule type="expression" dxfId="74" priority="14">
      <formula>B11=11</formula>
    </cfRule>
    <cfRule type="expression" dxfId="73" priority="15">
      <formula>B11&gt;10</formula>
    </cfRule>
    <cfRule type="expression" dxfId="72" priority="16">
      <formula>B11&gt;10</formula>
    </cfRule>
  </conditionalFormatting>
  <conditionalFormatting sqref="Z59">
    <cfRule type="expression" dxfId="71" priority="117">
      <formula>B11&gt;11</formula>
    </cfRule>
    <cfRule type="expression" dxfId="70" priority="111">
      <formula>B11=12</formula>
    </cfRule>
    <cfRule type="expression" dxfId="69" priority="113">
      <formula>B11&gt;11</formula>
    </cfRule>
  </conditionalFormatting>
  <conditionalFormatting sqref="Z60">
    <cfRule type="expression" dxfId="68" priority="116">
      <formula>B11&gt;11</formula>
    </cfRule>
    <cfRule type="expression" dxfId="67" priority="110">
      <formula>B11=12</formula>
    </cfRule>
  </conditionalFormatting>
  <conditionalFormatting sqref="Z61">
    <cfRule type="expression" dxfId="66" priority="115">
      <formula>B11&gt;11</formula>
    </cfRule>
    <cfRule type="expression" dxfId="65" priority="109">
      <formula>B11=12</formula>
    </cfRule>
  </conditionalFormatting>
  <conditionalFormatting sqref="Z62">
    <cfRule type="expression" dxfId="64" priority="114">
      <formula>B11&gt;11</formula>
    </cfRule>
    <cfRule type="expression" dxfId="63" priority="112">
      <formula>B11&gt;11</formula>
    </cfRule>
    <cfRule type="expression" dxfId="62" priority="108">
      <formula>B11=12</formula>
    </cfRule>
  </conditionalFormatting>
  <conditionalFormatting sqref="Z69">
    <cfRule type="expression" dxfId="61" priority="36">
      <formula>B11&gt;11</formula>
    </cfRule>
    <cfRule type="expression" dxfId="60" priority="37">
      <formula>B11&gt;11</formula>
    </cfRule>
    <cfRule type="expression" dxfId="59" priority="35">
      <formula>B11=12</formula>
    </cfRule>
  </conditionalFormatting>
  <conditionalFormatting sqref="Z70:Z82">
    <cfRule type="expression" dxfId="58" priority="58">
      <formula>$B$11&gt;11</formula>
    </cfRule>
    <cfRule type="expression" dxfId="57" priority="57">
      <formula>$B$11=12</formula>
    </cfRule>
  </conditionalFormatting>
  <conditionalFormatting sqref="Z83">
    <cfRule type="expression" dxfId="56" priority="13">
      <formula>B11&gt;11</formula>
    </cfRule>
    <cfRule type="expression" dxfId="55" priority="11">
      <formula>B11=12</formula>
    </cfRule>
    <cfRule type="expression" dxfId="54" priority="12">
      <formula>B11&gt;11</formula>
    </cfRule>
  </conditionalFormatting>
  <conditionalFormatting sqref="AA59">
    <cfRule type="expression" dxfId="53" priority="107">
      <formula>B11&gt;12</formula>
    </cfRule>
    <cfRule type="expression" dxfId="52" priority="106">
      <formula>B11&gt;12</formula>
    </cfRule>
    <cfRule type="expression" dxfId="51" priority="105">
      <formula>B11=13</formula>
    </cfRule>
  </conditionalFormatting>
  <conditionalFormatting sqref="AA60">
    <cfRule type="expression" dxfId="50" priority="104">
      <formula>B11&gt;12</formula>
    </cfRule>
    <cfRule type="expression" dxfId="49" priority="103">
      <formula>B11=13</formula>
    </cfRule>
  </conditionalFormatting>
  <conditionalFormatting sqref="AA61">
    <cfRule type="expression" dxfId="48" priority="102">
      <formula>B11&gt;12</formula>
    </cfRule>
    <cfRule type="expression" dxfId="47" priority="101">
      <formula>B11=13</formula>
    </cfRule>
  </conditionalFormatting>
  <conditionalFormatting sqref="AA62">
    <cfRule type="expression" dxfId="46" priority="98">
      <formula>B11=13</formula>
    </cfRule>
    <cfRule type="expression" dxfId="45" priority="99">
      <formula>B11&gt;12</formula>
    </cfRule>
    <cfRule type="expression" dxfId="44" priority="100">
      <formula>B11&gt;12</formula>
    </cfRule>
  </conditionalFormatting>
  <conditionalFormatting sqref="AA69">
    <cfRule type="expression" dxfId="43" priority="32">
      <formula>B11=13</formula>
    </cfRule>
    <cfRule type="expression" dxfId="42" priority="33">
      <formula>B11&gt;12</formula>
    </cfRule>
    <cfRule type="expression" dxfId="41" priority="34">
      <formula>B11&gt;12</formula>
    </cfRule>
  </conditionalFormatting>
  <conditionalFormatting sqref="AA70:AA82">
    <cfRule type="expression" dxfId="40" priority="55">
      <formula>$B$11=13</formula>
    </cfRule>
    <cfRule type="expression" dxfId="39" priority="56">
      <formula>$B$11&gt;12</formula>
    </cfRule>
  </conditionalFormatting>
  <conditionalFormatting sqref="AA83">
    <cfRule type="expression" dxfId="38" priority="8">
      <formula>B11=13</formula>
    </cfRule>
    <cfRule type="expression" dxfId="37" priority="9">
      <formula>B11&gt;12</formula>
    </cfRule>
    <cfRule type="expression" dxfId="36" priority="10">
      <formula>B11&gt;12</formula>
    </cfRule>
  </conditionalFormatting>
  <conditionalFormatting sqref="AB59">
    <cfRule type="expression" dxfId="35" priority="96">
      <formula>B11&gt;13</formula>
    </cfRule>
    <cfRule type="expression" dxfId="34" priority="95">
      <formula>B11=14</formula>
    </cfRule>
    <cfRule type="expression" dxfId="33" priority="97">
      <formula>B11&gt;13</formula>
    </cfRule>
  </conditionalFormatting>
  <conditionalFormatting sqref="AB60">
    <cfRule type="expression" dxfId="32" priority="94">
      <formula>B11&gt;13</formula>
    </cfRule>
    <cfRule type="expression" dxfId="31" priority="92">
      <formula>B11=14</formula>
    </cfRule>
  </conditionalFormatting>
  <conditionalFormatting sqref="AB61">
    <cfRule type="expression" dxfId="30" priority="90">
      <formula>B11=14</formula>
    </cfRule>
    <cfRule type="expression" dxfId="29" priority="91">
      <formula>B11&gt;13</formula>
    </cfRule>
  </conditionalFormatting>
  <conditionalFormatting sqref="AB62">
    <cfRule type="expression" dxfId="28" priority="87">
      <formula>B11=14</formula>
    </cfRule>
    <cfRule type="expression" dxfId="27" priority="88">
      <formula>B11&gt;13</formula>
    </cfRule>
    <cfRule type="expression" dxfId="26" priority="89">
      <formula>B11&gt;13</formula>
    </cfRule>
  </conditionalFormatting>
  <conditionalFormatting sqref="AB69">
    <cfRule type="expression" dxfId="25" priority="29">
      <formula>B11=14</formula>
    </cfRule>
    <cfRule type="expression" dxfId="24" priority="30">
      <formula>B11&gt;13</formula>
    </cfRule>
    <cfRule type="expression" dxfId="23" priority="31">
      <formula>B11&gt;13</formula>
    </cfRule>
  </conditionalFormatting>
  <conditionalFormatting sqref="AB70:AB82">
    <cfRule type="expression" dxfId="22" priority="54">
      <formula>$B$11&gt;13</formula>
    </cfRule>
    <cfRule type="expression" dxfId="21" priority="53">
      <formula>+$B$11=14</formula>
    </cfRule>
  </conditionalFormatting>
  <conditionalFormatting sqref="AB83">
    <cfRule type="expression" dxfId="20" priority="5">
      <formula>B11=14</formula>
    </cfRule>
    <cfRule type="expression" dxfId="19" priority="7">
      <formula>B11&gt;13</formula>
    </cfRule>
    <cfRule type="expression" dxfId="18" priority="6">
      <formula>B11&gt;13</formula>
    </cfRule>
  </conditionalFormatting>
  <conditionalFormatting sqref="AC59">
    <cfRule type="expression" dxfId="17" priority="84">
      <formula>B11=15</formula>
    </cfRule>
    <cfRule type="expression" dxfId="16" priority="85">
      <formula>B11&gt;14</formula>
    </cfRule>
    <cfRule type="expression" dxfId="15" priority="86">
      <formula>B11&gt;14</formula>
    </cfRule>
  </conditionalFormatting>
  <conditionalFormatting sqref="AC60">
    <cfRule type="expression" dxfId="14" priority="83">
      <formula>B11&gt;14</formula>
    </cfRule>
    <cfRule type="expression" dxfId="13" priority="82">
      <formula>B11=15</formula>
    </cfRule>
  </conditionalFormatting>
  <conditionalFormatting sqref="AC61">
    <cfRule type="expression" dxfId="12" priority="80">
      <formula>B11=15</formula>
    </cfRule>
    <cfRule type="expression" dxfId="11" priority="81">
      <formula>B11&gt;14</formula>
    </cfRule>
  </conditionalFormatting>
  <conditionalFormatting sqref="AC62">
    <cfRule type="expression" dxfId="10" priority="77">
      <formula>B11=15</formula>
    </cfRule>
    <cfRule type="expression" dxfId="9" priority="78">
      <formula>B11&gt;14</formula>
    </cfRule>
    <cfRule type="expression" dxfId="8" priority="79">
      <formula>B11&gt;14</formula>
    </cfRule>
  </conditionalFormatting>
  <conditionalFormatting sqref="AC69">
    <cfRule type="expression" dxfId="7" priority="27">
      <formula>B11&gt;14</formula>
    </cfRule>
    <cfRule type="expression" dxfId="6" priority="26">
      <formula>B11=15</formula>
    </cfRule>
    <cfRule type="expression" dxfId="5" priority="28">
      <formula>B11&gt;14</formula>
    </cfRule>
  </conditionalFormatting>
  <conditionalFormatting sqref="AC70:AC82">
    <cfRule type="expression" dxfId="4" priority="52">
      <formula>$B$11&gt;14</formula>
    </cfRule>
    <cfRule type="expression" dxfId="3" priority="51">
      <formula>$B$11=15</formula>
    </cfRule>
  </conditionalFormatting>
  <conditionalFormatting sqref="AC83">
    <cfRule type="expression" dxfId="2" priority="4">
      <formula>B11&gt;14</formula>
    </cfRule>
    <cfRule type="expression" dxfId="1" priority="2">
      <formula>B11=15</formula>
    </cfRule>
    <cfRule type="expression" dxfId="0" priority="3">
      <formula>B11&gt;14</formula>
    </cfRule>
  </conditionalFormatting>
  <dataValidations count="7">
    <dataValidation type="decimal" allowBlank="1" showInputMessage="1" showErrorMessage="1" error="U kunt maximaal een percentage van 3,0% invullen. Klik op &quot;Annuleren&quot; en vul een ander percentage in. " sqref="L48 JH48 TD48 ACZ48 AMV48 AWR48 BGN48 BQJ48 CAF48 CKB48 CTX48 DDT48 DNP48 DXL48 EHH48 ERD48 FAZ48 FKV48 FUR48 GEN48 GOJ48 GYF48 HIB48 HRX48 IBT48 ILP48 IVL48 JFH48 JPD48 JYZ48 KIV48 KSR48 LCN48 LMJ48 LWF48 MGB48 MPX48 MZT48 NJP48 NTL48 ODH48 OND48 OWZ48 PGV48 PQR48 QAN48 QKJ48 QUF48 REB48 RNX48 RXT48 SHP48 SRL48 TBH48 TLD48 TUZ48 UEV48 UOR48 UYN48 VIJ48 VSF48 WCB48 WLX48 WVT48 L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L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L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L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L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L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L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L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L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L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L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L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L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L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L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xr:uid="{BAB5037A-2106-4132-A206-359E19D50A95}">
      <formula1>0</formula1>
      <formula2>0.05</formula2>
    </dataValidation>
    <dataValidation type="decimal" allowBlank="1" showErrorMessage="1" error="U kunt maximaal een percentage van 3,0% invullen. Klik op &quot;Annuleren&quot; en vul een ander percentage in. " prompt="U kunt maximaal een percentage van 3,0% invullen. Klik op &quot;Annuleren&quot; en vul een ander percentage in. " sqref="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xr:uid="{A90A478C-69A9-4069-9A88-E9868C1ADCBA}">
      <formula1>0</formula1>
      <formula2>0.05</formula2>
    </dataValidation>
    <dataValidation type="decimal" allowBlank="1" showErrorMessage="1" error="U kunt maximaal een percentage van 3,0% invullen. Klik op &quot;Annuleren&quot; en vul een ander percentage in. " prompt="U kunt maximaal een percentage van 3,0% invullen. Klik op &quot;Annuleren&quot; en vul een ander percentage in. " sqref="WVT983048:WVT983050 JH38:JH44 TD38:TD44 ACZ38:ACZ44 AMV38:AMV44 AWR38:AWR44 BGN38:BGN44 BQJ38:BQJ44 CAF38:CAF44 CKB38:CKB44 CTX38:CTX44 DDT38:DDT44 DNP38:DNP44 DXL38:DXL44 EHH38:EHH44 ERD38:ERD44 FAZ38:FAZ44 FKV38:FKV44 FUR38:FUR44 GEN38:GEN44 GOJ38:GOJ44 GYF38:GYF44 HIB38:HIB44 HRX38:HRX44 IBT38:IBT44 ILP38:ILP44 IVL38:IVL44 JFH38:JFH44 JPD38:JPD44 JYZ38:JYZ44 KIV38:KIV44 KSR38:KSR44 LCN38:LCN44 LMJ38:LMJ44 LWF38:LWF44 MGB38:MGB44 MPX38:MPX44 MZT38:MZT44 NJP38:NJP44 NTL38:NTL44 ODH38:ODH44 OND38:OND44 OWZ38:OWZ44 PGV38:PGV44 PQR38:PQR44 QAN38:QAN44 QKJ38:QKJ44 QUF38:QUF44 REB38:REB44 RNX38:RNX44 RXT38:RXT44 SHP38:SHP44 SRL38:SRL44 TBH38:TBH44 TLD38:TLD44 TUZ38:TUZ44 UEV38:UEV44 UOR38:UOR44 UYN38:UYN44 VIJ38:VIJ44 VSF38:VSF44 WCB38:WCB44 WLX38:WLX44 WVT38:WVT44 L65544:L65546 JH65544:JH65546 TD65544:TD65546 ACZ65544:ACZ65546 AMV65544:AMV65546 AWR65544:AWR65546 BGN65544:BGN65546 BQJ65544:BQJ65546 CAF65544:CAF65546 CKB65544:CKB65546 CTX65544:CTX65546 DDT65544:DDT65546 DNP65544:DNP65546 DXL65544:DXL65546 EHH65544:EHH65546 ERD65544:ERD65546 FAZ65544:FAZ65546 FKV65544:FKV65546 FUR65544:FUR65546 GEN65544:GEN65546 GOJ65544:GOJ65546 GYF65544:GYF65546 HIB65544:HIB65546 HRX65544:HRX65546 IBT65544:IBT65546 ILP65544:ILP65546 IVL65544:IVL65546 JFH65544:JFH65546 JPD65544:JPD65546 JYZ65544:JYZ65546 KIV65544:KIV65546 KSR65544:KSR65546 LCN65544:LCN65546 LMJ65544:LMJ65546 LWF65544:LWF65546 MGB65544:MGB65546 MPX65544:MPX65546 MZT65544:MZT65546 NJP65544:NJP65546 NTL65544:NTL65546 ODH65544:ODH65546 OND65544:OND65546 OWZ65544:OWZ65546 PGV65544:PGV65546 PQR65544:PQR65546 QAN65544:QAN65546 QKJ65544:QKJ65546 QUF65544:QUF65546 REB65544:REB65546 RNX65544:RNX65546 RXT65544:RXT65546 SHP65544:SHP65546 SRL65544:SRL65546 TBH65544:TBH65546 TLD65544:TLD65546 TUZ65544:TUZ65546 UEV65544:UEV65546 UOR65544:UOR65546 UYN65544:UYN65546 VIJ65544:VIJ65546 VSF65544:VSF65546 WCB65544:WCB65546 WLX65544:WLX65546 WVT65544:WVT65546 L131080:L131082 JH131080:JH131082 TD131080:TD131082 ACZ131080:ACZ131082 AMV131080:AMV131082 AWR131080:AWR131082 BGN131080:BGN131082 BQJ131080:BQJ131082 CAF131080:CAF131082 CKB131080:CKB131082 CTX131080:CTX131082 DDT131080:DDT131082 DNP131080:DNP131082 DXL131080:DXL131082 EHH131080:EHH131082 ERD131080:ERD131082 FAZ131080:FAZ131082 FKV131080:FKV131082 FUR131080:FUR131082 GEN131080:GEN131082 GOJ131080:GOJ131082 GYF131080:GYF131082 HIB131080:HIB131082 HRX131080:HRX131082 IBT131080:IBT131082 ILP131080:ILP131082 IVL131080:IVL131082 JFH131080:JFH131082 JPD131080:JPD131082 JYZ131080:JYZ131082 KIV131080:KIV131082 KSR131080:KSR131082 LCN131080:LCN131082 LMJ131080:LMJ131082 LWF131080:LWF131082 MGB131080:MGB131082 MPX131080:MPX131082 MZT131080:MZT131082 NJP131080:NJP131082 NTL131080:NTL131082 ODH131080:ODH131082 OND131080:OND131082 OWZ131080:OWZ131082 PGV131080:PGV131082 PQR131080:PQR131082 QAN131080:QAN131082 QKJ131080:QKJ131082 QUF131080:QUF131082 REB131080:REB131082 RNX131080:RNX131082 RXT131080:RXT131082 SHP131080:SHP131082 SRL131080:SRL131082 TBH131080:TBH131082 TLD131080:TLD131082 TUZ131080:TUZ131082 UEV131080:UEV131082 UOR131080:UOR131082 UYN131080:UYN131082 VIJ131080:VIJ131082 VSF131080:VSF131082 WCB131080:WCB131082 WLX131080:WLX131082 WVT131080:WVT131082 L196616:L196618 JH196616:JH196618 TD196616:TD196618 ACZ196616:ACZ196618 AMV196616:AMV196618 AWR196616:AWR196618 BGN196616:BGN196618 BQJ196616:BQJ196618 CAF196616:CAF196618 CKB196616:CKB196618 CTX196616:CTX196618 DDT196616:DDT196618 DNP196616:DNP196618 DXL196616:DXL196618 EHH196616:EHH196618 ERD196616:ERD196618 FAZ196616:FAZ196618 FKV196616:FKV196618 FUR196616:FUR196618 GEN196616:GEN196618 GOJ196616:GOJ196618 GYF196616:GYF196618 HIB196616:HIB196618 HRX196616:HRX196618 IBT196616:IBT196618 ILP196616:ILP196618 IVL196616:IVL196618 JFH196616:JFH196618 JPD196616:JPD196618 JYZ196616:JYZ196618 KIV196616:KIV196618 KSR196616:KSR196618 LCN196616:LCN196618 LMJ196616:LMJ196618 LWF196616:LWF196618 MGB196616:MGB196618 MPX196616:MPX196618 MZT196616:MZT196618 NJP196616:NJP196618 NTL196616:NTL196618 ODH196616:ODH196618 OND196616:OND196618 OWZ196616:OWZ196618 PGV196616:PGV196618 PQR196616:PQR196618 QAN196616:QAN196618 QKJ196616:QKJ196618 QUF196616:QUF196618 REB196616:REB196618 RNX196616:RNX196618 RXT196616:RXT196618 SHP196616:SHP196618 SRL196616:SRL196618 TBH196616:TBH196618 TLD196616:TLD196618 TUZ196616:TUZ196618 UEV196616:UEV196618 UOR196616:UOR196618 UYN196616:UYN196618 VIJ196616:VIJ196618 VSF196616:VSF196618 WCB196616:WCB196618 WLX196616:WLX196618 WVT196616:WVT196618 L262152:L262154 JH262152:JH262154 TD262152:TD262154 ACZ262152:ACZ262154 AMV262152:AMV262154 AWR262152:AWR262154 BGN262152:BGN262154 BQJ262152:BQJ262154 CAF262152:CAF262154 CKB262152:CKB262154 CTX262152:CTX262154 DDT262152:DDT262154 DNP262152:DNP262154 DXL262152:DXL262154 EHH262152:EHH262154 ERD262152:ERD262154 FAZ262152:FAZ262154 FKV262152:FKV262154 FUR262152:FUR262154 GEN262152:GEN262154 GOJ262152:GOJ262154 GYF262152:GYF262154 HIB262152:HIB262154 HRX262152:HRX262154 IBT262152:IBT262154 ILP262152:ILP262154 IVL262152:IVL262154 JFH262152:JFH262154 JPD262152:JPD262154 JYZ262152:JYZ262154 KIV262152:KIV262154 KSR262152:KSR262154 LCN262152:LCN262154 LMJ262152:LMJ262154 LWF262152:LWF262154 MGB262152:MGB262154 MPX262152:MPX262154 MZT262152:MZT262154 NJP262152:NJP262154 NTL262152:NTL262154 ODH262152:ODH262154 OND262152:OND262154 OWZ262152:OWZ262154 PGV262152:PGV262154 PQR262152:PQR262154 QAN262152:QAN262154 QKJ262152:QKJ262154 QUF262152:QUF262154 REB262152:REB262154 RNX262152:RNX262154 RXT262152:RXT262154 SHP262152:SHP262154 SRL262152:SRL262154 TBH262152:TBH262154 TLD262152:TLD262154 TUZ262152:TUZ262154 UEV262152:UEV262154 UOR262152:UOR262154 UYN262152:UYN262154 VIJ262152:VIJ262154 VSF262152:VSF262154 WCB262152:WCB262154 WLX262152:WLX262154 WVT262152:WVT262154 L327688:L327690 JH327688:JH327690 TD327688:TD327690 ACZ327688:ACZ327690 AMV327688:AMV327690 AWR327688:AWR327690 BGN327688:BGN327690 BQJ327688:BQJ327690 CAF327688:CAF327690 CKB327688:CKB327690 CTX327688:CTX327690 DDT327688:DDT327690 DNP327688:DNP327690 DXL327688:DXL327690 EHH327688:EHH327690 ERD327688:ERD327690 FAZ327688:FAZ327690 FKV327688:FKV327690 FUR327688:FUR327690 GEN327688:GEN327690 GOJ327688:GOJ327690 GYF327688:GYF327690 HIB327688:HIB327690 HRX327688:HRX327690 IBT327688:IBT327690 ILP327688:ILP327690 IVL327688:IVL327690 JFH327688:JFH327690 JPD327688:JPD327690 JYZ327688:JYZ327690 KIV327688:KIV327690 KSR327688:KSR327690 LCN327688:LCN327690 LMJ327688:LMJ327690 LWF327688:LWF327690 MGB327688:MGB327690 MPX327688:MPX327690 MZT327688:MZT327690 NJP327688:NJP327690 NTL327688:NTL327690 ODH327688:ODH327690 OND327688:OND327690 OWZ327688:OWZ327690 PGV327688:PGV327690 PQR327688:PQR327690 QAN327688:QAN327690 QKJ327688:QKJ327690 QUF327688:QUF327690 REB327688:REB327690 RNX327688:RNX327690 RXT327688:RXT327690 SHP327688:SHP327690 SRL327688:SRL327690 TBH327688:TBH327690 TLD327688:TLD327690 TUZ327688:TUZ327690 UEV327688:UEV327690 UOR327688:UOR327690 UYN327688:UYN327690 VIJ327688:VIJ327690 VSF327688:VSF327690 WCB327688:WCB327690 WLX327688:WLX327690 WVT327688:WVT327690 L393224:L393226 JH393224:JH393226 TD393224:TD393226 ACZ393224:ACZ393226 AMV393224:AMV393226 AWR393224:AWR393226 BGN393224:BGN393226 BQJ393224:BQJ393226 CAF393224:CAF393226 CKB393224:CKB393226 CTX393224:CTX393226 DDT393224:DDT393226 DNP393224:DNP393226 DXL393224:DXL393226 EHH393224:EHH393226 ERD393224:ERD393226 FAZ393224:FAZ393226 FKV393224:FKV393226 FUR393224:FUR393226 GEN393224:GEN393226 GOJ393224:GOJ393226 GYF393224:GYF393226 HIB393224:HIB393226 HRX393224:HRX393226 IBT393224:IBT393226 ILP393224:ILP393226 IVL393224:IVL393226 JFH393224:JFH393226 JPD393224:JPD393226 JYZ393224:JYZ393226 KIV393224:KIV393226 KSR393224:KSR393226 LCN393224:LCN393226 LMJ393224:LMJ393226 LWF393224:LWF393226 MGB393224:MGB393226 MPX393224:MPX393226 MZT393224:MZT393226 NJP393224:NJP393226 NTL393224:NTL393226 ODH393224:ODH393226 OND393224:OND393226 OWZ393224:OWZ393226 PGV393224:PGV393226 PQR393224:PQR393226 QAN393224:QAN393226 QKJ393224:QKJ393226 QUF393224:QUF393226 REB393224:REB393226 RNX393224:RNX393226 RXT393224:RXT393226 SHP393224:SHP393226 SRL393224:SRL393226 TBH393224:TBH393226 TLD393224:TLD393226 TUZ393224:TUZ393226 UEV393224:UEV393226 UOR393224:UOR393226 UYN393224:UYN393226 VIJ393224:VIJ393226 VSF393224:VSF393226 WCB393224:WCB393226 WLX393224:WLX393226 WVT393224:WVT393226 L458760:L458762 JH458760:JH458762 TD458760:TD458762 ACZ458760:ACZ458762 AMV458760:AMV458762 AWR458760:AWR458762 BGN458760:BGN458762 BQJ458760:BQJ458762 CAF458760:CAF458762 CKB458760:CKB458762 CTX458760:CTX458762 DDT458760:DDT458762 DNP458760:DNP458762 DXL458760:DXL458762 EHH458760:EHH458762 ERD458760:ERD458762 FAZ458760:FAZ458762 FKV458760:FKV458762 FUR458760:FUR458762 GEN458760:GEN458762 GOJ458760:GOJ458762 GYF458760:GYF458762 HIB458760:HIB458762 HRX458760:HRX458762 IBT458760:IBT458762 ILP458760:ILP458762 IVL458760:IVL458762 JFH458760:JFH458762 JPD458760:JPD458762 JYZ458760:JYZ458762 KIV458760:KIV458762 KSR458760:KSR458762 LCN458760:LCN458762 LMJ458760:LMJ458762 LWF458760:LWF458762 MGB458760:MGB458762 MPX458760:MPX458762 MZT458760:MZT458762 NJP458760:NJP458762 NTL458760:NTL458762 ODH458760:ODH458762 OND458760:OND458762 OWZ458760:OWZ458762 PGV458760:PGV458762 PQR458760:PQR458762 QAN458760:QAN458762 QKJ458760:QKJ458762 QUF458760:QUF458762 REB458760:REB458762 RNX458760:RNX458762 RXT458760:RXT458762 SHP458760:SHP458762 SRL458760:SRL458762 TBH458760:TBH458762 TLD458760:TLD458762 TUZ458760:TUZ458762 UEV458760:UEV458762 UOR458760:UOR458762 UYN458760:UYN458762 VIJ458760:VIJ458762 VSF458760:VSF458762 WCB458760:WCB458762 WLX458760:WLX458762 WVT458760:WVT458762 L524296:L524298 JH524296:JH524298 TD524296:TD524298 ACZ524296:ACZ524298 AMV524296:AMV524298 AWR524296:AWR524298 BGN524296:BGN524298 BQJ524296:BQJ524298 CAF524296:CAF524298 CKB524296:CKB524298 CTX524296:CTX524298 DDT524296:DDT524298 DNP524296:DNP524298 DXL524296:DXL524298 EHH524296:EHH524298 ERD524296:ERD524298 FAZ524296:FAZ524298 FKV524296:FKV524298 FUR524296:FUR524298 GEN524296:GEN524298 GOJ524296:GOJ524298 GYF524296:GYF524298 HIB524296:HIB524298 HRX524296:HRX524298 IBT524296:IBT524298 ILP524296:ILP524298 IVL524296:IVL524298 JFH524296:JFH524298 JPD524296:JPD524298 JYZ524296:JYZ524298 KIV524296:KIV524298 KSR524296:KSR524298 LCN524296:LCN524298 LMJ524296:LMJ524298 LWF524296:LWF524298 MGB524296:MGB524298 MPX524296:MPX524298 MZT524296:MZT524298 NJP524296:NJP524298 NTL524296:NTL524298 ODH524296:ODH524298 OND524296:OND524298 OWZ524296:OWZ524298 PGV524296:PGV524298 PQR524296:PQR524298 QAN524296:QAN524298 QKJ524296:QKJ524298 QUF524296:QUF524298 REB524296:REB524298 RNX524296:RNX524298 RXT524296:RXT524298 SHP524296:SHP524298 SRL524296:SRL524298 TBH524296:TBH524298 TLD524296:TLD524298 TUZ524296:TUZ524298 UEV524296:UEV524298 UOR524296:UOR524298 UYN524296:UYN524298 VIJ524296:VIJ524298 VSF524296:VSF524298 WCB524296:WCB524298 WLX524296:WLX524298 WVT524296:WVT524298 L589832:L589834 JH589832:JH589834 TD589832:TD589834 ACZ589832:ACZ589834 AMV589832:AMV589834 AWR589832:AWR589834 BGN589832:BGN589834 BQJ589832:BQJ589834 CAF589832:CAF589834 CKB589832:CKB589834 CTX589832:CTX589834 DDT589832:DDT589834 DNP589832:DNP589834 DXL589832:DXL589834 EHH589832:EHH589834 ERD589832:ERD589834 FAZ589832:FAZ589834 FKV589832:FKV589834 FUR589832:FUR589834 GEN589832:GEN589834 GOJ589832:GOJ589834 GYF589832:GYF589834 HIB589832:HIB589834 HRX589832:HRX589834 IBT589832:IBT589834 ILP589832:ILP589834 IVL589832:IVL589834 JFH589832:JFH589834 JPD589832:JPD589834 JYZ589832:JYZ589834 KIV589832:KIV589834 KSR589832:KSR589834 LCN589832:LCN589834 LMJ589832:LMJ589834 LWF589832:LWF589834 MGB589832:MGB589834 MPX589832:MPX589834 MZT589832:MZT589834 NJP589832:NJP589834 NTL589832:NTL589834 ODH589832:ODH589834 OND589832:OND589834 OWZ589832:OWZ589834 PGV589832:PGV589834 PQR589832:PQR589834 QAN589832:QAN589834 QKJ589832:QKJ589834 QUF589832:QUF589834 REB589832:REB589834 RNX589832:RNX589834 RXT589832:RXT589834 SHP589832:SHP589834 SRL589832:SRL589834 TBH589832:TBH589834 TLD589832:TLD589834 TUZ589832:TUZ589834 UEV589832:UEV589834 UOR589832:UOR589834 UYN589832:UYN589834 VIJ589832:VIJ589834 VSF589832:VSF589834 WCB589832:WCB589834 WLX589832:WLX589834 WVT589832:WVT589834 L655368:L655370 JH655368:JH655370 TD655368:TD655370 ACZ655368:ACZ655370 AMV655368:AMV655370 AWR655368:AWR655370 BGN655368:BGN655370 BQJ655368:BQJ655370 CAF655368:CAF655370 CKB655368:CKB655370 CTX655368:CTX655370 DDT655368:DDT655370 DNP655368:DNP655370 DXL655368:DXL655370 EHH655368:EHH655370 ERD655368:ERD655370 FAZ655368:FAZ655370 FKV655368:FKV655370 FUR655368:FUR655370 GEN655368:GEN655370 GOJ655368:GOJ655370 GYF655368:GYF655370 HIB655368:HIB655370 HRX655368:HRX655370 IBT655368:IBT655370 ILP655368:ILP655370 IVL655368:IVL655370 JFH655368:JFH655370 JPD655368:JPD655370 JYZ655368:JYZ655370 KIV655368:KIV655370 KSR655368:KSR655370 LCN655368:LCN655370 LMJ655368:LMJ655370 LWF655368:LWF655370 MGB655368:MGB655370 MPX655368:MPX655370 MZT655368:MZT655370 NJP655368:NJP655370 NTL655368:NTL655370 ODH655368:ODH655370 OND655368:OND655370 OWZ655368:OWZ655370 PGV655368:PGV655370 PQR655368:PQR655370 QAN655368:QAN655370 QKJ655368:QKJ655370 QUF655368:QUF655370 REB655368:REB655370 RNX655368:RNX655370 RXT655368:RXT655370 SHP655368:SHP655370 SRL655368:SRL655370 TBH655368:TBH655370 TLD655368:TLD655370 TUZ655368:TUZ655370 UEV655368:UEV655370 UOR655368:UOR655370 UYN655368:UYN655370 VIJ655368:VIJ655370 VSF655368:VSF655370 WCB655368:WCB655370 WLX655368:WLX655370 WVT655368:WVT655370 L720904:L720906 JH720904:JH720906 TD720904:TD720906 ACZ720904:ACZ720906 AMV720904:AMV720906 AWR720904:AWR720906 BGN720904:BGN720906 BQJ720904:BQJ720906 CAF720904:CAF720906 CKB720904:CKB720906 CTX720904:CTX720906 DDT720904:DDT720906 DNP720904:DNP720906 DXL720904:DXL720906 EHH720904:EHH720906 ERD720904:ERD720906 FAZ720904:FAZ720906 FKV720904:FKV720906 FUR720904:FUR720906 GEN720904:GEN720906 GOJ720904:GOJ720906 GYF720904:GYF720906 HIB720904:HIB720906 HRX720904:HRX720906 IBT720904:IBT720906 ILP720904:ILP720906 IVL720904:IVL720906 JFH720904:JFH720906 JPD720904:JPD720906 JYZ720904:JYZ720906 KIV720904:KIV720906 KSR720904:KSR720906 LCN720904:LCN720906 LMJ720904:LMJ720906 LWF720904:LWF720906 MGB720904:MGB720906 MPX720904:MPX720906 MZT720904:MZT720906 NJP720904:NJP720906 NTL720904:NTL720906 ODH720904:ODH720906 OND720904:OND720906 OWZ720904:OWZ720906 PGV720904:PGV720906 PQR720904:PQR720906 QAN720904:QAN720906 QKJ720904:QKJ720906 QUF720904:QUF720906 REB720904:REB720906 RNX720904:RNX720906 RXT720904:RXT720906 SHP720904:SHP720906 SRL720904:SRL720906 TBH720904:TBH720906 TLD720904:TLD720906 TUZ720904:TUZ720906 UEV720904:UEV720906 UOR720904:UOR720906 UYN720904:UYN720906 VIJ720904:VIJ720906 VSF720904:VSF720906 WCB720904:WCB720906 WLX720904:WLX720906 WVT720904:WVT720906 L786440:L786442 JH786440:JH786442 TD786440:TD786442 ACZ786440:ACZ786442 AMV786440:AMV786442 AWR786440:AWR786442 BGN786440:BGN786442 BQJ786440:BQJ786442 CAF786440:CAF786442 CKB786440:CKB786442 CTX786440:CTX786442 DDT786440:DDT786442 DNP786440:DNP786442 DXL786440:DXL786442 EHH786440:EHH786442 ERD786440:ERD786442 FAZ786440:FAZ786442 FKV786440:FKV786442 FUR786440:FUR786442 GEN786440:GEN786442 GOJ786440:GOJ786442 GYF786440:GYF786442 HIB786440:HIB786442 HRX786440:HRX786442 IBT786440:IBT786442 ILP786440:ILP786442 IVL786440:IVL786442 JFH786440:JFH786442 JPD786440:JPD786442 JYZ786440:JYZ786442 KIV786440:KIV786442 KSR786440:KSR786442 LCN786440:LCN786442 LMJ786440:LMJ786442 LWF786440:LWF786442 MGB786440:MGB786442 MPX786440:MPX786442 MZT786440:MZT786442 NJP786440:NJP786442 NTL786440:NTL786442 ODH786440:ODH786442 OND786440:OND786442 OWZ786440:OWZ786442 PGV786440:PGV786442 PQR786440:PQR786442 QAN786440:QAN786442 QKJ786440:QKJ786442 QUF786440:QUF786442 REB786440:REB786442 RNX786440:RNX786442 RXT786440:RXT786442 SHP786440:SHP786442 SRL786440:SRL786442 TBH786440:TBH786442 TLD786440:TLD786442 TUZ786440:TUZ786442 UEV786440:UEV786442 UOR786440:UOR786442 UYN786440:UYN786442 VIJ786440:VIJ786442 VSF786440:VSF786442 WCB786440:WCB786442 WLX786440:WLX786442 WVT786440:WVT786442 L851976:L851978 JH851976:JH851978 TD851976:TD851978 ACZ851976:ACZ851978 AMV851976:AMV851978 AWR851976:AWR851978 BGN851976:BGN851978 BQJ851976:BQJ851978 CAF851976:CAF851978 CKB851976:CKB851978 CTX851976:CTX851978 DDT851976:DDT851978 DNP851976:DNP851978 DXL851976:DXL851978 EHH851976:EHH851978 ERD851976:ERD851978 FAZ851976:FAZ851978 FKV851976:FKV851978 FUR851976:FUR851978 GEN851976:GEN851978 GOJ851976:GOJ851978 GYF851976:GYF851978 HIB851976:HIB851978 HRX851976:HRX851978 IBT851976:IBT851978 ILP851976:ILP851978 IVL851976:IVL851978 JFH851976:JFH851978 JPD851976:JPD851978 JYZ851976:JYZ851978 KIV851976:KIV851978 KSR851976:KSR851978 LCN851976:LCN851978 LMJ851976:LMJ851978 LWF851976:LWF851978 MGB851976:MGB851978 MPX851976:MPX851978 MZT851976:MZT851978 NJP851976:NJP851978 NTL851976:NTL851978 ODH851976:ODH851978 OND851976:OND851978 OWZ851976:OWZ851978 PGV851976:PGV851978 PQR851976:PQR851978 QAN851976:QAN851978 QKJ851976:QKJ851978 QUF851976:QUF851978 REB851976:REB851978 RNX851976:RNX851978 RXT851976:RXT851978 SHP851976:SHP851978 SRL851976:SRL851978 TBH851976:TBH851978 TLD851976:TLD851978 TUZ851976:TUZ851978 UEV851976:UEV851978 UOR851976:UOR851978 UYN851976:UYN851978 VIJ851976:VIJ851978 VSF851976:VSF851978 WCB851976:WCB851978 WLX851976:WLX851978 WVT851976:WVT851978 L917512:L917514 JH917512:JH917514 TD917512:TD917514 ACZ917512:ACZ917514 AMV917512:AMV917514 AWR917512:AWR917514 BGN917512:BGN917514 BQJ917512:BQJ917514 CAF917512:CAF917514 CKB917512:CKB917514 CTX917512:CTX917514 DDT917512:DDT917514 DNP917512:DNP917514 DXL917512:DXL917514 EHH917512:EHH917514 ERD917512:ERD917514 FAZ917512:FAZ917514 FKV917512:FKV917514 FUR917512:FUR917514 GEN917512:GEN917514 GOJ917512:GOJ917514 GYF917512:GYF917514 HIB917512:HIB917514 HRX917512:HRX917514 IBT917512:IBT917514 ILP917512:ILP917514 IVL917512:IVL917514 JFH917512:JFH917514 JPD917512:JPD917514 JYZ917512:JYZ917514 KIV917512:KIV917514 KSR917512:KSR917514 LCN917512:LCN917514 LMJ917512:LMJ917514 LWF917512:LWF917514 MGB917512:MGB917514 MPX917512:MPX917514 MZT917512:MZT917514 NJP917512:NJP917514 NTL917512:NTL917514 ODH917512:ODH917514 OND917512:OND917514 OWZ917512:OWZ917514 PGV917512:PGV917514 PQR917512:PQR917514 QAN917512:QAN917514 QKJ917512:QKJ917514 QUF917512:QUF917514 REB917512:REB917514 RNX917512:RNX917514 RXT917512:RXT917514 SHP917512:SHP917514 SRL917512:SRL917514 TBH917512:TBH917514 TLD917512:TLD917514 TUZ917512:TUZ917514 UEV917512:UEV917514 UOR917512:UOR917514 UYN917512:UYN917514 VIJ917512:VIJ917514 VSF917512:VSF917514 WCB917512:WCB917514 WLX917512:WLX917514 WVT917512:WVT917514 L983048:L983050 JH983048:JH983050 TD983048:TD983050 ACZ983048:ACZ983050 AMV983048:AMV983050 AWR983048:AWR983050 BGN983048:BGN983050 BQJ983048:BQJ983050 CAF983048:CAF983050 CKB983048:CKB983050 CTX983048:CTX983050 DDT983048:DDT983050 DNP983048:DNP983050 DXL983048:DXL983050 EHH983048:EHH983050 ERD983048:ERD983050 FAZ983048:FAZ983050 FKV983048:FKV983050 FUR983048:FUR983050 GEN983048:GEN983050 GOJ983048:GOJ983050 GYF983048:GYF983050 HIB983048:HIB983050 HRX983048:HRX983050 IBT983048:IBT983050 ILP983048:ILP983050 IVL983048:IVL983050 JFH983048:JFH983050 JPD983048:JPD983050 JYZ983048:JYZ983050 KIV983048:KIV983050 KSR983048:KSR983050 LCN983048:LCN983050 LMJ983048:LMJ983050 LWF983048:LWF983050 MGB983048:MGB983050 MPX983048:MPX983050 MZT983048:MZT983050 NJP983048:NJP983050 NTL983048:NTL983050 ODH983048:ODH983050 OND983048:OND983050 OWZ983048:OWZ983050 PGV983048:PGV983050 PQR983048:PQR983050 QAN983048:QAN983050 QKJ983048:QKJ983050 QUF983048:QUF983050 REB983048:REB983050 RNX983048:RNX983050 RXT983048:RXT983050 SHP983048:SHP983050 SRL983048:SRL983050 TBH983048:TBH983050 TLD983048:TLD983050 TUZ983048:TUZ983050 UEV983048:UEV983050 UOR983048:UOR983050 UYN983048:UYN983050 VIJ983048:VIJ983050 VSF983048:VSF983050 WCB983048:WCB983050 WLX983048:WLX983050 L44 L38:L41 L42:L43" xr:uid="{2C8B5BE5-C519-4366-9FE6-C45E1385E7F6}">
      <formula1>0</formula1>
      <formula2>0.03</formula2>
    </dataValidation>
    <dataValidation type="whole" allowBlank="1" showInputMessage="1" showErrorMessage="1" error="U moet hier een 1 of 2 invullen." sqref="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xr:uid="{010F7B85-A746-44C5-A4A9-6CB0858E6550}">
      <formula1>1</formula1>
      <formula2>2</formula2>
    </dataValidation>
    <dataValidation type="whole" allowBlank="1" showInputMessage="1" showErrorMessage="1" error="U moet hier een geheel aantal jaren met een maximum van de subsidielooptijd invullen." sqref="WVM98304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xr:uid="{535AD22C-A322-4CC2-9149-A2A8A86EF78B}">
      <formula1>0</formula1>
      <formula2>15</formula2>
    </dataValidation>
    <dataValidation type="decimal" allowBlank="1" showInputMessage="1" showErrorMessage="1" error="U kunt maximaal een percentage van 3,0% invullen. Klik op &quot;Annuleren&quot; en vul een ander percentage in. " sqref="L49:L50 JH49:JH50 TD49:TD50 ACZ49:ACZ50 AMV49:AMV50 AWR49:AWR50 BGN49:BGN50 BQJ49:BQJ50 CAF49:CAF50 CKB49:CKB50 CTX49:CTX50 DDT49:DDT50 DNP49:DNP50 DXL49:DXL50 EHH49:EHH50 ERD49:ERD50 FAZ49:FAZ50 FKV49:FKV50 FUR49:FUR50 GEN49:GEN50 GOJ49:GOJ50 GYF49:GYF50 HIB49:HIB50 HRX49:HRX50 IBT49:IBT50 ILP49:ILP50 IVL49:IVL50 JFH49:JFH50 JPD49:JPD50 JYZ49:JYZ50 KIV49:KIV50 KSR49:KSR50 LCN49:LCN50 LMJ49:LMJ50 LWF49:LWF50 MGB49:MGB50 MPX49:MPX50 MZT49:MZT50 NJP49:NJP50 NTL49:NTL50 ODH49:ODH50 OND49:OND50 OWZ49:OWZ50 PGV49:PGV50 PQR49:PQR50 QAN49:QAN50 QKJ49:QKJ50 QUF49:QUF50 REB49:REB50 RNX49:RNX50 RXT49:RXT50 SHP49:SHP50 SRL49:SRL50 TBH49:TBH50 TLD49:TLD50 TUZ49:TUZ50 UEV49:UEV50 UOR49:UOR50 UYN49:UYN50 VIJ49:VIJ50 VSF49:VSF50 WCB49:WCB50 WLX49:WLX50 WVT49:WVT50 L65555:L65556 JH65555:JH65556 TD65555:TD65556 ACZ65555:ACZ65556 AMV65555:AMV65556 AWR65555:AWR65556 BGN65555:BGN65556 BQJ65555:BQJ65556 CAF65555:CAF65556 CKB65555:CKB65556 CTX65555:CTX65556 DDT65555:DDT65556 DNP65555:DNP65556 DXL65555:DXL65556 EHH65555:EHH65556 ERD65555:ERD65556 FAZ65555:FAZ65556 FKV65555:FKV65556 FUR65555:FUR65556 GEN65555:GEN65556 GOJ65555:GOJ65556 GYF65555:GYF65556 HIB65555:HIB65556 HRX65555:HRX65556 IBT65555:IBT65556 ILP65555:ILP65556 IVL65555:IVL65556 JFH65555:JFH65556 JPD65555:JPD65556 JYZ65555:JYZ65556 KIV65555:KIV65556 KSR65555:KSR65556 LCN65555:LCN65556 LMJ65555:LMJ65556 LWF65555:LWF65556 MGB65555:MGB65556 MPX65555:MPX65556 MZT65555:MZT65556 NJP65555:NJP65556 NTL65555:NTL65556 ODH65555:ODH65556 OND65555:OND65556 OWZ65555:OWZ65556 PGV65555:PGV65556 PQR65555:PQR65556 QAN65555:QAN65556 QKJ65555:QKJ65556 QUF65555:QUF65556 REB65555:REB65556 RNX65555:RNX65556 RXT65555:RXT65556 SHP65555:SHP65556 SRL65555:SRL65556 TBH65555:TBH65556 TLD65555:TLD65556 TUZ65555:TUZ65556 UEV65555:UEV65556 UOR65555:UOR65556 UYN65555:UYN65556 VIJ65555:VIJ65556 VSF65555:VSF65556 WCB65555:WCB65556 WLX65555:WLX65556 WVT65555:WVT65556 L131091:L131092 JH131091:JH131092 TD131091:TD131092 ACZ131091:ACZ131092 AMV131091:AMV131092 AWR131091:AWR131092 BGN131091:BGN131092 BQJ131091:BQJ131092 CAF131091:CAF131092 CKB131091:CKB131092 CTX131091:CTX131092 DDT131091:DDT131092 DNP131091:DNP131092 DXL131091:DXL131092 EHH131091:EHH131092 ERD131091:ERD131092 FAZ131091:FAZ131092 FKV131091:FKV131092 FUR131091:FUR131092 GEN131091:GEN131092 GOJ131091:GOJ131092 GYF131091:GYF131092 HIB131091:HIB131092 HRX131091:HRX131092 IBT131091:IBT131092 ILP131091:ILP131092 IVL131091:IVL131092 JFH131091:JFH131092 JPD131091:JPD131092 JYZ131091:JYZ131092 KIV131091:KIV131092 KSR131091:KSR131092 LCN131091:LCN131092 LMJ131091:LMJ131092 LWF131091:LWF131092 MGB131091:MGB131092 MPX131091:MPX131092 MZT131091:MZT131092 NJP131091:NJP131092 NTL131091:NTL131092 ODH131091:ODH131092 OND131091:OND131092 OWZ131091:OWZ131092 PGV131091:PGV131092 PQR131091:PQR131092 QAN131091:QAN131092 QKJ131091:QKJ131092 QUF131091:QUF131092 REB131091:REB131092 RNX131091:RNX131092 RXT131091:RXT131092 SHP131091:SHP131092 SRL131091:SRL131092 TBH131091:TBH131092 TLD131091:TLD131092 TUZ131091:TUZ131092 UEV131091:UEV131092 UOR131091:UOR131092 UYN131091:UYN131092 VIJ131091:VIJ131092 VSF131091:VSF131092 WCB131091:WCB131092 WLX131091:WLX131092 WVT131091:WVT131092 L196627:L196628 JH196627:JH196628 TD196627:TD196628 ACZ196627:ACZ196628 AMV196627:AMV196628 AWR196627:AWR196628 BGN196627:BGN196628 BQJ196627:BQJ196628 CAF196627:CAF196628 CKB196627:CKB196628 CTX196627:CTX196628 DDT196627:DDT196628 DNP196627:DNP196628 DXL196627:DXL196628 EHH196627:EHH196628 ERD196627:ERD196628 FAZ196627:FAZ196628 FKV196627:FKV196628 FUR196627:FUR196628 GEN196627:GEN196628 GOJ196627:GOJ196628 GYF196627:GYF196628 HIB196627:HIB196628 HRX196627:HRX196628 IBT196627:IBT196628 ILP196627:ILP196628 IVL196627:IVL196628 JFH196627:JFH196628 JPD196627:JPD196628 JYZ196627:JYZ196628 KIV196627:KIV196628 KSR196627:KSR196628 LCN196627:LCN196628 LMJ196627:LMJ196628 LWF196627:LWF196628 MGB196627:MGB196628 MPX196627:MPX196628 MZT196627:MZT196628 NJP196627:NJP196628 NTL196627:NTL196628 ODH196627:ODH196628 OND196627:OND196628 OWZ196627:OWZ196628 PGV196627:PGV196628 PQR196627:PQR196628 QAN196627:QAN196628 QKJ196627:QKJ196628 QUF196627:QUF196628 REB196627:REB196628 RNX196627:RNX196628 RXT196627:RXT196628 SHP196627:SHP196628 SRL196627:SRL196628 TBH196627:TBH196628 TLD196627:TLD196628 TUZ196627:TUZ196628 UEV196627:UEV196628 UOR196627:UOR196628 UYN196627:UYN196628 VIJ196627:VIJ196628 VSF196627:VSF196628 WCB196627:WCB196628 WLX196627:WLX196628 WVT196627:WVT196628 L262163:L262164 JH262163:JH262164 TD262163:TD262164 ACZ262163:ACZ262164 AMV262163:AMV262164 AWR262163:AWR262164 BGN262163:BGN262164 BQJ262163:BQJ262164 CAF262163:CAF262164 CKB262163:CKB262164 CTX262163:CTX262164 DDT262163:DDT262164 DNP262163:DNP262164 DXL262163:DXL262164 EHH262163:EHH262164 ERD262163:ERD262164 FAZ262163:FAZ262164 FKV262163:FKV262164 FUR262163:FUR262164 GEN262163:GEN262164 GOJ262163:GOJ262164 GYF262163:GYF262164 HIB262163:HIB262164 HRX262163:HRX262164 IBT262163:IBT262164 ILP262163:ILP262164 IVL262163:IVL262164 JFH262163:JFH262164 JPD262163:JPD262164 JYZ262163:JYZ262164 KIV262163:KIV262164 KSR262163:KSR262164 LCN262163:LCN262164 LMJ262163:LMJ262164 LWF262163:LWF262164 MGB262163:MGB262164 MPX262163:MPX262164 MZT262163:MZT262164 NJP262163:NJP262164 NTL262163:NTL262164 ODH262163:ODH262164 OND262163:OND262164 OWZ262163:OWZ262164 PGV262163:PGV262164 PQR262163:PQR262164 QAN262163:QAN262164 QKJ262163:QKJ262164 QUF262163:QUF262164 REB262163:REB262164 RNX262163:RNX262164 RXT262163:RXT262164 SHP262163:SHP262164 SRL262163:SRL262164 TBH262163:TBH262164 TLD262163:TLD262164 TUZ262163:TUZ262164 UEV262163:UEV262164 UOR262163:UOR262164 UYN262163:UYN262164 VIJ262163:VIJ262164 VSF262163:VSF262164 WCB262163:WCB262164 WLX262163:WLX262164 WVT262163:WVT262164 L327699:L327700 JH327699:JH327700 TD327699:TD327700 ACZ327699:ACZ327700 AMV327699:AMV327700 AWR327699:AWR327700 BGN327699:BGN327700 BQJ327699:BQJ327700 CAF327699:CAF327700 CKB327699:CKB327700 CTX327699:CTX327700 DDT327699:DDT327700 DNP327699:DNP327700 DXL327699:DXL327700 EHH327699:EHH327700 ERD327699:ERD327700 FAZ327699:FAZ327700 FKV327699:FKV327700 FUR327699:FUR327700 GEN327699:GEN327700 GOJ327699:GOJ327700 GYF327699:GYF327700 HIB327699:HIB327700 HRX327699:HRX327700 IBT327699:IBT327700 ILP327699:ILP327700 IVL327699:IVL327700 JFH327699:JFH327700 JPD327699:JPD327700 JYZ327699:JYZ327700 KIV327699:KIV327700 KSR327699:KSR327700 LCN327699:LCN327700 LMJ327699:LMJ327700 LWF327699:LWF327700 MGB327699:MGB327700 MPX327699:MPX327700 MZT327699:MZT327700 NJP327699:NJP327700 NTL327699:NTL327700 ODH327699:ODH327700 OND327699:OND327700 OWZ327699:OWZ327700 PGV327699:PGV327700 PQR327699:PQR327700 QAN327699:QAN327700 QKJ327699:QKJ327700 QUF327699:QUF327700 REB327699:REB327700 RNX327699:RNX327700 RXT327699:RXT327700 SHP327699:SHP327700 SRL327699:SRL327700 TBH327699:TBH327700 TLD327699:TLD327700 TUZ327699:TUZ327700 UEV327699:UEV327700 UOR327699:UOR327700 UYN327699:UYN327700 VIJ327699:VIJ327700 VSF327699:VSF327700 WCB327699:WCB327700 WLX327699:WLX327700 WVT327699:WVT327700 L393235:L393236 JH393235:JH393236 TD393235:TD393236 ACZ393235:ACZ393236 AMV393235:AMV393236 AWR393235:AWR393236 BGN393235:BGN393236 BQJ393235:BQJ393236 CAF393235:CAF393236 CKB393235:CKB393236 CTX393235:CTX393236 DDT393235:DDT393236 DNP393235:DNP393236 DXL393235:DXL393236 EHH393235:EHH393236 ERD393235:ERD393236 FAZ393235:FAZ393236 FKV393235:FKV393236 FUR393235:FUR393236 GEN393235:GEN393236 GOJ393235:GOJ393236 GYF393235:GYF393236 HIB393235:HIB393236 HRX393235:HRX393236 IBT393235:IBT393236 ILP393235:ILP393236 IVL393235:IVL393236 JFH393235:JFH393236 JPD393235:JPD393236 JYZ393235:JYZ393236 KIV393235:KIV393236 KSR393235:KSR393236 LCN393235:LCN393236 LMJ393235:LMJ393236 LWF393235:LWF393236 MGB393235:MGB393236 MPX393235:MPX393236 MZT393235:MZT393236 NJP393235:NJP393236 NTL393235:NTL393236 ODH393235:ODH393236 OND393235:OND393236 OWZ393235:OWZ393236 PGV393235:PGV393236 PQR393235:PQR393236 QAN393235:QAN393236 QKJ393235:QKJ393236 QUF393235:QUF393236 REB393235:REB393236 RNX393235:RNX393236 RXT393235:RXT393236 SHP393235:SHP393236 SRL393235:SRL393236 TBH393235:TBH393236 TLD393235:TLD393236 TUZ393235:TUZ393236 UEV393235:UEV393236 UOR393235:UOR393236 UYN393235:UYN393236 VIJ393235:VIJ393236 VSF393235:VSF393236 WCB393235:WCB393236 WLX393235:WLX393236 WVT393235:WVT393236 L458771:L458772 JH458771:JH458772 TD458771:TD458772 ACZ458771:ACZ458772 AMV458771:AMV458772 AWR458771:AWR458772 BGN458771:BGN458772 BQJ458771:BQJ458772 CAF458771:CAF458772 CKB458771:CKB458772 CTX458771:CTX458772 DDT458771:DDT458772 DNP458771:DNP458772 DXL458771:DXL458772 EHH458771:EHH458772 ERD458771:ERD458772 FAZ458771:FAZ458772 FKV458771:FKV458772 FUR458771:FUR458772 GEN458771:GEN458772 GOJ458771:GOJ458772 GYF458771:GYF458772 HIB458771:HIB458772 HRX458771:HRX458772 IBT458771:IBT458772 ILP458771:ILP458772 IVL458771:IVL458772 JFH458771:JFH458772 JPD458771:JPD458772 JYZ458771:JYZ458772 KIV458771:KIV458772 KSR458771:KSR458772 LCN458771:LCN458772 LMJ458771:LMJ458772 LWF458771:LWF458772 MGB458771:MGB458772 MPX458771:MPX458772 MZT458771:MZT458772 NJP458771:NJP458772 NTL458771:NTL458772 ODH458771:ODH458772 OND458771:OND458772 OWZ458771:OWZ458772 PGV458771:PGV458772 PQR458771:PQR458772 QAN458771:QAN458772 QKJ458771:QKJ458772 QUF458771:QUF458772 REB458771:REB458772 RNX458771:RNX458772 RXT458771:RXT458772 SHP458771:SHP458772 SRL458771:SRL458772 TBH458771:TBH458772 TLD458771:TLD458772 TUZ458771:TUZ458772 UEV458771:UEV458772 UOR458771:UOR458772 UYN458771:UYN458772 VIJ458771:VIJ458772 VSF458771:VSF458772 WCB458771:WCB458772 WLX458771:WLX458772 WVT458771:WVT458772 L524307:L524308 JH524307:JH524308 TD524307:TD524308 ACZ524307:ACZ524308 AMV524307:AMV524308 AWR524307:AWR524308 BGN524307:BGN524308 BQJ524307:BQJ524308 CAF524307:CAF524308 CKB524307:CKB524308 CTX524307:CTX524308 DDT524307:DDT524308 DNP524307:DNP524308 DXL524307:DXL524308 EHH524307:EHH524308 ERD524307:ERD524308 FAZ524307:FAZ524308 FKV524307:FKV524308 FUR524307:FUR524308 GEN524307:GEN524308 GOJ524307:GOJ524308 GYF524307:GYF524308 HIB524307:HIB524308 HRX524307:HRX524308 IBT524307:IBT524308 ILP524307:ILP524308 IVL524307:IVL524308 JFH524307:JFH524308 JPD524307:JPD524308 JYZ524307:JYZ524308 KIV524307:KIV524308 KSR524307:KSR524308 LCN524307:LCN524308 LMJ524307:LMJ524308 LWF524307:LWF524308 MGB524307:MGB524308 MPX524307:MPX524308 MZT524307:MZT524308 NJP524307:NJP524308 NTL524307:NTL524308 ODH524307:ODH524308 OND524307:OND524308 OWZ524307:OWZ524308 PGV524307:PGV524308 PQR524307:PQR524308 QAN524307:QAN524308 QKJ524307:QKJ524308 QUF524307:QUF524308 REB524307:REB524308 RNX524307:RNX524308 RXT524307:RXT524308 SHP524307:SHP524308 SRL524307:SRL524308 TBH524307:TBH524308 TLD524307:TLD524308 TUZ524307:TUZ524308 UEV524307:UEV524308 UOR524307:UOR524308 UYN524307:UYN524308 VIJ524307:VIJ524308 VSF524307:VSF524308 WCB524307:WCB524308 WLX524307:WLX524308 WVT524307:WVT524308 L589843:L589844 JH589843:JH589844 TD589843:TD589844 ACZ589843:ACZ589844 AMV589843:AMV589844 AWR589843:AWR589844 BGN589843:BGN589844 BQJ589843:BQJ589844 CAF589843:CAF589844 CKB589843:CKB589844 CTX589843:CTX589844 DDT589843:DDT589844 DNP589843:DNP589844 DXL589843:DXL589844 EHH589843:EHH589844 ERD589843:ERD589844 FAZ589843:FAZ589844 FKV589843:FKV589844 FUR589843:FUR589844 GEN589843:GEN589844 GOJ589843:GOJ589844 GYF589843:GYF589844 HIB589843:HIB589844 HRX589843:HRX589844 IBT589843:IBT589844 ILP589843:ILP589844 IVL589843:IVL589844 JFH589843:JFH589844 JPD589843:JPD589844 JYZ589843:JYZ589844 KIV589843:KIV589844 KSR589843:KSR589844 LCN589843:LCN589844 LMJ589843:LMJ589844 LWF589843:LWF589844 MGB589843:MGB589844 MPX589843:MPX589844 MZT589843:MZT589844 NJP589843:NJP589844 NTL589843:NTL589844 ODH589843:ODH589844 OND589843:OND589844 OWZ589843:OWZ589844 PGV589843:PGV589844 PQR589843:PQR589844 QAN589843:QAN589844 QKJ589843:QKJ589844 QUF589843:QUF589844 REB589843:REB589844 RNX589843:RNX589844 RXT589843:RXT589844 SHP589843:SHP589844 SRL589843:SRL589844 TBH589843:TBH589844 TLD589843:TLD589844 TUZ589843:TUZ589844 UEV589843:UEV589844 UOR589843:UOR589844 UYN589843:UYN589844 VIJ589843:VIJ589844 VSF589843:VSF589844 WCB589843:WCB589844 WLX589843:WLX589844 WVT589843:WVT589844 L655379:L655380 JH655379:JH655380 TD655379:TD655380 ACZ655379:ACZ655380 AMV655379:AMV655380 AWR655379:AWR655380 BGN655379:BGN655380 BQJ655379:BQJ655380 CAF655379:CAF655380 CKB655379:CKB655380 CTX655379:CTX655380 DDT655379:DDT655380 DNP655379:DNP655380 DXL655379:DXL655380 EHH655379:EHH655380 ERD655379:ERD655380 FAZ655379:FAZ655380 FKV655379:FKV655380 FUR655379:FUR655380 GEN655379:GEN655380 GOJ655379:GOJ655380 GYF655379:GYF655380 HIB655379:HIB655380 HRX655379:HRX655380 IBT655379:IBT655380 ILP655379:ILP655380 IVL655379:IVL655380 JFH655379:JFH655380 JPD655379:JPD655380 JYZ655379:JYZ655380 KIV655379:KIV655380 KSR655379:KSR655380 LCN655379:LCN655380 LMJ655379:LMJ655380 LWF655379:LWF655380 MGB655379:MGB655380 MPX655379:MPX655380 MZT655379:MZT655380 NJP655379:NJP655380 NTL655379:NTL655380 ODH655379:ODH655380 OND655379:OND655380 OWZ655379:OWZ655380 PGV655379:PGV655380 PQR655379:PQR655380 QAN655379:QAN655380 QKJ655379:QKJ655380 QUF655379:QUF655380 REB655379:REB655380 RNX655379:RNX655380 RXT655379:RXT655380 SHP655379:SHP655380 SRL655379:SRL655380 TBH655379:TBH655380 TLD655379:TLD655380 TUZ655379:TUZ655380 UEV655379:UEV655380 UOR655379:UOR655380 UYN655379:UYN655380 VIJ655379:VIJ655380 VSF655379:VSF655380 WCB655379:WCB655380 WLX655379:WLX655380 WVT655379:WVT655380 L720915:L720916 JH720915:JH720916 TD720915:TD720916 ACZ720915:ACZ720916 AMV720915:AMV720916 AWR720915:AWR720916 BGN720915:BGN720916 BQJ720915:BQJ720916 CAF720915:CAF720916 CKB720915:CKB720916 CTX720915:CTX720916 DDT720915:DDT720916 DNP720915:DNP720916 DXL720915:DXL720916 EHH720915:EHH720916 ERD720915:ERD720916 FAZ720915:FAZ720916 FKV720915:FKV720916 FUR720915:FUR720916 GEN720915:GEN720916 GOJ720915:GOJ720916 GYF720915:GYF720916 HIB720915:HIB720916 HRX720915:HRX720916 IBT720915:IBT720916 ILP720915:ILP720916 IVL720915:IVL720916 JFH720915:JFH720916 JPD720915:JPD720916 JYZ720915:JYZ720916 KIV720915:KIV720916 KSR720915:KSR720916 LCN720915:LCN720916 LMJ720915:LMJ720916 LWF720915:LWF720916 MGB720915:MGB720916 MPX720915:MPX720916 MZT720915:MZT720916 NJP720915:NJP720916 NTL720915:NTL720916 ODH720915:ODH720916 OND720915:OND720916 OWZ720915:OWZ720916 PGV720915:PGV720916 PQR720915:PQR720916 QAN720915:QAN720916 QKJ720915:QKJ720916 QUF720915:QUF720916 REB720915:REB720916 RNX720915:RNX720916 RXT720915:RXT720916 SHP720915:SHP720916 SRL720915:SRL720916 TBH720915:TBH720916 TLD720915:TLD720916 TUZ720915:TUZ720916 UEV720915:UEV720916 UOR720915:UOR720916 UYN720915:UYN720916 VIJ720915:VIJ720916 VSF720915:VSF720916 WCB720915:WCB720916 WLX720915:WLX720916 WVT720915:WVT720916 L786451:L786452 JH786451:JH786452 TD786451:TD786452 ACZ786451:ACZ786452 AMV786451:AMV786452 AWR786451:AWR786452 BGN786451:BGN786452 BQJ786451:BQJ786452 CAF786451:CAF786452 CKB786451:CKB786452 CTX786451:CTX786452 DDT786451:DDT786452 DNP786451:DNP786452 DXL786451:DXL786452 EHH786451:EHH786452 ERD786451:ERD786452 FAZ786451:FAZ786452 FKV786451:FKV786452 FUR786451:FUR786452 GEN786451:GEN786452 GOJ786451:GOJ786452 GYF786451:GYF786452 HIB786451:HIB786452 HRX786451:HRX786452 IBT786451:IBT786452 ILP786451:ILP786452 IVL786451:IVL786452 JFH786451:JFH786452 JPD786451:JPD786452 JYZ786451:JYZ786452 KIV786451:KIV786452 KSR786451:KSR786452 LCN786451:LCN786452 LMJ786451:LMJ786452 LWF786451:LWF786452 MGB786451:MGB786452 MPX786451:MPX786452 MZT786451:MZT786452 NJP786451:NJP786452 NTL786451:NTL786452 ODH786451:ODH786452 OND786451:OND786452 OWZ786451:OWZ786452 PGV786451:PGV786452 PQR786451:PQR786452 QAN786451:QAN786452 QKJ786451:QKJ786452 QUF786451:QUF786452 REB786451:REB786452 RNX786451:RNX786452 RXT786451:RXT786452 SHP786451:SHP786452 SRL786451:SRL786452 TBH786451:TBH786452 TLD786451:TLD786452 TUZ786451:TUZ786452 UEV786451:UEV786452 UOR786451:UOR786452 UYN786451:UYN786452 VIJ786451:VIJ786452 VSF786451:VSF786452 WCB786451:WCB786452 WLX786451:WLX786452 WVT786451:WVT786452 L851987:L851988 JH851987:JH851988 TD851987:TD851988 ACZ851987:ACZ851988 AMV851987:AMV851988 AWR851987:AWR851988 BGN851987:BGN851988 BQJ851987:BQJ851988 CAF851987:CAF851988 CKB851987:CKB851988 CTX851987:CTX851988 DDT851987:DDT851988 DNP851987:DNP851988 DXL851987:DXL851988 EHH851987:EHH851988 ERD851987:ERD851988 FAZ851987:FAZ851988 FKV851987:FKV851988 FUR851987:FUR851988 GEN851987:GEN851988 GOJ851987:GOJ851988 GYF851987:GYF851988 HIB851987:HIB851988 HRX851987:HRX851988 IBT851987:IBT851988 ILP851987:ILP851988 IVL851987:IVL851988 JFH851987:JFH851988 JPD851987:JPD851988 JYZ851987:JYZ851988 KIV851987:KIV851988 KSR851987:KSR851988 LCN851987:LCN851988 LMJ851987:LMJ851988 LWF851987:LWF851988 MGB851987:MGB851988 MPX851987:MPX851988 MZT851987:MZT851988 NJP851987:NJP851988 NTL851987:NTL851988 ODH851987:ODH851988 OND851987:OND851988 OWZ851987:OWZ851988 PGV851987:PGV851988 PQR851987:PQR851988 QAN851987:QAN851988 QKJ851987:QKJ851988 QUF851987:QUF851988 REB851987:REB851988 RNX851987:RNX851988 RXT851987:RXT851988 SHP851987:SHP851988 SRL851987:SRL851988 TBH851987:TBH851988 TLD851987:TLD851988 TUZ851987:TUZ851988 UEV851987:UEV851988 UOR851987:UOR851988 UYN851987:UYN851988 VIJ851987:VIJ851988 VSF851987:VSF851988 WCB851987:WCB851988 WLX851987:WLX851988 WVT851987:WVT851988 L917523:L917524 JH917523:JH917524 TD917523:TD917524 ACZ917523:ACZ917524 AMV917523:AMV917524 AWR917523:AWR917524 BGN917523:BGN917524 BQJ917523:BQJ917524 CAF917523:CAF917524 CKB917523:CKB917524 CTX917523:CTX917524 DDT917523:DDT917524 DNP917523:DNP917524 DXL917523:DXL917524 EHH917523:EHH917524 ERD917523:ERD917524 FAZ917523:FAZ917524 FKV917523:FKV917524 FUR917523:FUR917524 GEN917523:GEN917524 GOJ917523:GOJ917524 GYF917523:GYF917524 HIB917523:HIB917524 HRX917523:HRX917524 IBT917523:IBT917524 ILP917523:ILP917524 IVL917523:IVL917524 JFH917523:JFH917524 JPD917523:JPD917524 JYZ917523:JYZ917524 KIV917523:KIV917524 KSR917523:KSR917524 LCN917523:LCN917524 LMJ917523:LMJ917524 LWF917523:LWF917524 MGB917523:MGB917524 MPX917523:MPX917524 MZT917523:MZT917524 NJP917523:NJP917524 NTL917523:NTL917524 ODH917523:ODH917524 OND917523:OND917524 OWZ917523:OWZ917524 PGV917523:PGV917524 PQR917523:PQR917524 QAN917523:QAN917524 QKJ917523:QKJ917524 QUF917523:QUF917524 REB917523:REB917524 RNX917523:RNX917524 RXT917523:RXT917524 SHP917523:SHP917524 SRL917523:SRL917524 TBH917523:TBH917524 TLD917523:TLD917524 TUZ917523:TUZ917524 UEV917523:UEV917524 UOR917523:UOR917524 UYN917523:UYN917524 VIJ917523:VIJ917524 VSF917523:VSF917524 WCB917523:WCB917524 WLX917523:WLX917524 WVT917523:WVT917524 L983059:L983060 JH983059:JH983060 TD983059:TD983060 ACZ983059:ACZ983060 AMV983059:AMV983060 AWR983059:AWR983060 BGN983059:BGN983060 BQJ983059:BQJ983060 CAF983059:CAF983060 CKB983059:CKB983060 CTX983059:CTX983060 DDT983059:DDT983060 DNP983059:DNP983060 DXL983059:DXL983060 EHH983059:EHH983060 ERD983059:ERD983060 FAZ983059:FAZ983060 FKV983059:FKV983060 FUR983059:FUR983060 GEN983059:GEN983060 GOJ983059:GOJ983060 GYF983059:GYF983060 HIB983059:HIB983060 HRX983059:HRX983060 IBT983059:IBT983060 ILP983059:ILP983060 IVL983059:IVL983060 JFH983059:JFH983060 JPD983059:JPD983060 JYZ983059:JYZ983060 KIV983059:KIV983060 KSR983059:KSR983060 LCN983059:LCN983060 LMJ983059:LMJ983060 LWF983059:LWF983060 MGB983059:MGB983060 MPX983059:MPX983060 MZT983059:MZT983060 NJP983059:NJP983060 NTL983059:NTL983060 ODH983059:ODH983060 OND983059:OND983060 OWZ983059:OWZ983060 PGV983059:PGV983060 PQR983059:PQR983060 QAN983059:QAN983060 QKJ983059:QKJ983060 QUF983059:QUF983060 REB983059:REB983060 RNX983059:RNX983060 RXT983059:RXT983060 SHP983059:SHP983060 SRL983059:SRL983060 TBH983059:TBH983060 TLD983059:TLD983060 TUZ983059:TUZ983060 UEV983059:UEV983060 UOR983059:UOR983060 UYN983059:UYN983060 VIJ983059:VIJ983060 VSF983059:VSF983060 WCB983059:WCB983060 WLX983059:WLX983060 WVT983059:WVT983060" xr:uid="{73A76EF2-3E91-41B5-8377-FEC075629242}">
      <formula1>0</formula1>
      <formula2>0.03</formula2>
    </dataValidation>
    <dataValidation type="whole" allowBlank="1" showInputMessage="1" showErrorMessage="1" error="U moet hier een geheel aantal jaren invullen. Minimum aantal jaren is 1 en maximum aantal jaren is de economische levensduur." sqref="E32" xr:uid="{5B54EEFA-57A0-4B1B-9D04-1BF99191BB45}">
      <formula1>1</formula1>
      <formula2>B11</formula2>
    </dataValidation>
  </dataValidations>
  <pageMargins left="0.7" right="0.7" top="0.75" bottom="0.75" header="0.3" footer="0.3"/>
  <pageSetup paperSize="9" orientation="portrait" r:id="rId1"/>
  <ignoredErrors>
    <ignoredError sqref="B15:B20 N15:N20 E43" unlockedFormula="1"/>
    <ignoredError sqref="O95:O105 P96:W96 X96:Z96 AA96:AC96 AA112:AC112 N118:U118 O123:U123 O107:O113 P94:U94 X98:Z98 AA98:AC98 P98:W98 P97:U97 P95:U95 X100:Z101 P100:W101 P99:U99 P103:U103 P102:U102 X105:Z105 AA105:AC105 P105:W105 P104:U104 X107:Z109 P107:W109 P106:U106 X112:Z112 P112:W112 P110:U110 P111:U111 P113:U1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List Box 1">
              <controlPr defaultSize="0" autoLine="0" autoPict="0">
                <anchor moveWithCells="1" sizeWithCells="1">
                  <from>
                    <xdr:col>7</xdr:col>
                    <xdr:colOff>19050</xdr:colOff>
                    <xdr:row>30</xdr:row>
                    <xdr:rowOff>152400</xdr:rowOff>
                  </from>
                  <to>
                    <xdr:col>10</xdr:col>
                    <xdr:colOff>9525</xdr:colOff>
                    <xdr:row>32</xdr:row>
                    <xdr:rowOff>123825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7880C-9D8F-421B-B3F3-A2380F56FA79}">
  <dimension ref="A1:P143"/>
  <sheetViews>
    <sheetView workbookViewId="0">
      <selection activeCell="I46" sqref="I46"/>
    </sheetView>
  </sheetViews>
  <sheetFormatPr defaultColWidth="8.7109375" defaultRowHeight="15" x14ac:dyDescent="0.25"/>
  <cols>
    <col min="1" max="1" width="144" style="4" customWidth="1"/>
    <col min="2" max="2" width="86.7109375" style="23" customWidth="1"/>
    <col min="3" max="3" width="3.42578125" style="23" customWidth="1"/>
    <col min="4" max="4" width="14" style="4" bestFit="1" customWidth="1"/>
    <col min="5" max="5" width="90.7109375" style="4" customWidth="1"/>
    <col min="6" max="11" width="12.7109375" style="4" customWidth="1"/>
    <col min="12" max="12" width="13.7109375" style="4" customWidth="1"/>
    <col min="13" max="13" width="12.42578125" style="4" customWidth="1"/>
    <col min="14" max="256" width="8.7109375" style="4"/>
    <col min="257" max="257" width="132.28515625" style="4" customWidth="1"/>
    <col min="258" max="258" width="86.7109375" style="4" customWidth="1"/>
    <col min="259" max="259" width="3.42578125" style="4" customWidth="1"/>
    <col min="260" max="260" width="14" style="4" bestFit="1" customWidth="1"/>
    <col min="261" max="261" width="90.7109375" style="4" customWidth="1"/>
    <col min="262" max="267" width="12.7109375" style="4" customWidth="1"/>
    <col min="268" max="268" width="13.7109375" style="4" customWidth="1"/>
    <col min="269" max="269" width="12.42578125" style="4" customWidth="1"/>
    <col min="270" max="512" width="8.7109375" style="4"/>
    <col min="513" max="513" width="132.28515625" style="4" customWidth="1"/>
    <col min="514" max="514" width="86.7109375" style="4" customWidth="1"/>
    <col min="515" max="515" width="3.42578125" style="4" customWidth="1"/>
    <col min="516" max="516" width="14" style="4" bestFit="1" customWidth="1"/>
    <col min="517" max="517" width="90.7109375" style="4" customWidth="1"/>
    <col min="518" max="523" width="12.7109375" style="4" customWidth="1"/>
    <col min="524" max="524" width="13.7109375" style="4" customWidth="1"/>
    <col min="525" max="525" width="12.42578125" style="4" customWidth="1"/>
    <col min="526" max="768" width="8.7109375" style="4"/>
    <col min="769" max="769" width="132.28515625" style="4" customWidth="1"/>
    <col min="770" max="770" width="86.7109375" style="4" customWidth="1"/>
    <col min="771" max="771" width="3.42578125" style="4" customWidth="1"/>
    <col min="772" max="772" width="14" style="4" bestFit="1" customWidth="1"/>
    <col min="773" max="773" width="90.7109375" style="4" customWidth="1"/>
    <col min="774" max="779" width="12.7109375" style="4" customWidth="1"/>
    <col min="780" max="780" width="13.7109375" style="4" customWidth="1"/>
    <col min="781" max="781" width="12.42578125" style="4" customWidth="1"/>
    <col min="782" max="1024" width="8.7109375" style="4"/>
    <col min="1025" max="1025" width="132.28515625" style="4" customWidth="1"/>
    <col min="1026" max="1026" width="86.7109375" style="4" customWidth="1"/>
    <col min="1027" max="1027" width="3.42578125" style="4" customWidth="1"/>
    <col min="1028" max="1028" width="14" style="4" bestFit="1" customWidth="1"/>
    <col min="1029" max="1029" width="90.7109375" style="4" customWidth="1"/>
    <col min="1030" max="1035" width="12.7109375" style="4" customWidth="1"/>
    <col min="1036" max="1036" width="13.7109375" style="4" customWidth="1"/>
    <col min="1037" max="1037" width="12.42578125" style="4" customWidth="1"/>
    <col min="1038" max="1280" width="8.7109375" style="4"/>
    <col min="1281" max="1281" width="132.28515625" style="4" customWidth="1"/>
    <col min="1282" max="1282" width="86.7109375" style="4" customWidth="1"/>
    <col min="1283" max="1283" width="3.42578125" style="4" customWidth="1"/>
    <col min="1284" max="1284" width="14" style="4" bestFit="1" customWidth="1"/>
    <col min="1285" max="1285" width="90.7109375" style="4" customWidth="1"/>
    <col min="1286" max="1291" width="12.7109375" style="4" customWidth="1"/>
    <col min="1292" max="1292" width="13.7109375" style="4" customWidth="1"/>
    <col min="1293" max="1293" width="12.42578125" style="4" customWidth="1"/>
    <col min="1294" max="1536" width="8.7109375" style="4"/>
    <col min="1537" max="1537" width="132.28515625" style="4" customWidth="1"/>
    <col min="1538" max="1538" width="86.7109375" style="4" customWidth="1"/>
    <col min="1539" max="1539" width="3.42578125" style="4" customWidth="1"/>
    <col min="1540" max="1540" width="14" style="4" bestFit="1" customWidth="1"/>
    <col min="1541" max="1541" width="90.7109375" style="4" customWidth="1"/>
    <col min="1542" max="1547" width="12.7109375" style="4" customWidth="1"/>
    <col min="1548" max="1548" width="13.7109375" style="4" customWidth="1"/>
    <col min="1549" max="1549" width="12.42578125" style="4" customWidth="1"/>
    <col min="1550" max="1792" width="8.7109375" style="4"/>
    <col min="1793" max="1793" width="132.28515625" style="4" customWidth="1"/>
    <col min="1794" max="1794" width="86.7109375" style="4" customWidth="1"/>
    <col min="1795" max="1795" width="3.42578125" style="4" customWidth="1"/>
    <col min="1796" max="1796" width="14" style="4" bestFit="1" customWidth="1"/>
    <col min="1797" max="1797" width="90.7109375" style="4" customWidth="1"/>
    <col min="1798" max="1803" width="12.7109375" style="4" customWidth="1"/>
    <col min="1804" max="1804" width="13.7109375" style="4" customWidth="1"/>
    <col min="1805" max="1805" width="12.42578125" style="4" customWidth="1"/>
    <col min="1806" max="2048" width="8.7109375" style="4"/>
    <col min="2049" max="2049" width="132.28515625" style="4" customWidth="1"/>
    <col min="2050" max="2050" width="86.7109375" style="4" customWidth="1"/>
    <col min="2051" max="2051" width="3.42578125" style="4" customWidth="1"/>
    <col min="2052" max="2052" width="14" style="4" bestFit="1" customWidth="1"/>
    <col min="2053" max="2053" width="90.7109375" style="4" customWidth="1"/>
    <col min="2054" max="2059" width="12.7109375" style="4" customWidth="1"/>
    <col min="2060" max="2060" width="13.7109375" style="4" customWidth="1"/>
    <col min="2061" max="2061" width="12.42578125" style="4" customWidth="1"/>
    <col min="2062" max="2304" width="8.7109375" style="4"/>
    <col min="2305" max="2305" width="132.28515625" style="4" customWidth="1"/>
    <col min="2306" max="2306" width="86.7109375" style="4" customWidth="1"/>
    <col min="2307" max="2307" width="3.42578125" style="4" customWidth="1"/>
    <col min="2308" max="2308" width="14" style="4" bestFit="1" customWidth="1"/>
    <col min="2309" max="2309" width="90.7109375" style="4" customWidth="1"/>
    <col min="2310" max="2315" width="12.7109375" style="4" customWidth="1"/>
    <col min="2316" max="2316" width="13.7109375" style="4" customWidth="1"/>
    <col min="2317" max="2317" width="12.42578125" style="4" customWidth="1"/>
    <col min="2318" max="2560" width="8.7109375" style="4"/>
    <col min="2561" max="2561" width="132.28515625" style="4" customWidth="1"/>
    <col min="2562" max="2562" width="86.7109375" style="4" customWidth="1"/>
    <col min="2563" max="2563" width="3.42578125" style="4" customWidth="1"/>
    <col min="2564" max="2564" width="14" style="4" bestFit="1" customWidth="1"/>
    <col min="2565" max="2565" width="90.7109375" style="4" customWidth="1"/>
    <col min="2566" max="2571" width="12.7109375" style="4" customWidth="1"/>
    <col min="2572" max="2572" width="13.7109375" style="4" customWidth="1"/>
    <col min="2573" max="2573" width="12.42578125" style="4" customWidth="1"/>
    <col min="2574" max="2816" width="8.7109375" style="4"/>
    <col min="2817" max="2817" width="132.28515625" style="4" customWidth="1"/>
    <col min="2818" max="2818" width="86.7109375" style="4" customWidth="1"/>
    <col min="2819" max="2819" width="3.42578125" style="4" customWidth="1"/>
    <col min="2820" max="2820" width="14" style="4" bestFit="1" customWidth="1"/>
    <col min="2821" max="2821" width="90.7109375" style="4" customWidth="1"/>
    <col min="2822" max="2827" width="12.7109375" style="4" customWidth="1"/>
    <col min="2828" max="2828" width="13.7109375" style="4" customWidth="1"/>
    <col min="2829" max="2829" width="12.42578125" style="4" customWidth="1"/>
    <col min="2830" max="3072" width="8.7109375" style="4"/>
    <col min="3073" max="3073" width="132.28515625" style="4" customWidth="1"/>
    <col min="3074" max="3074" width="86.7109375" style="4" customWidth="1"/>
    <col min="3075" max="3075" width="3.42578125" style="4" customWidth="1"/>
    <col min="3076" max="3076" width="14" style="4" bestFit="1" customWidth="1"/>
    <col min="3077" max="3077" width="90.7109375" style="4" customWidth="1"/>
    <col min="3078" max="3083" width="12.7109375" style="4" customWidth="1"/>
    <col min="3084" max="3084" width="13.7109375" style="4" customWidth="1"/>
    <col min="3085" max="3085" width="12.42578125" style="4" customWidth="1"/>
    <col min="3086" max="3328" width="8.7109375" style="4"/>
    <col min="3329" max="3329" width="132.28515625" style="4" customWidth="1"/>
    <col min="3330" max="3330" width="86.7109375" style="4" customWidth="1"/>
    <col min="3331" max="3331" width="3.42578125" style="4" customWidth="1"/>
    <col min="3332" max="3332" width="14" style="4" bestFit="1" customWidth="1"/>
    <col min="3333" max="3333" width="90.7109375" style="4" customWidth="1"/>
    <col min="3334" max="3339" width="12.7109375" style="4" customWidth="1"/>
    <col min="3340" max="3340" width="13.7109375" style="4" customWidth="1"/>
    <col min="3341" max="3341" width="12.42578125" style="4" customWidth="1"/>
    <col min="3342" max="3584" width="8.7109375" style="4"/>
    <col min="3585" max="3585" width="132.28515625" style="4" customWidth="1"/>
    <col min="3586" max="3586" width="86.7109375" style="4" customWidth="1"/>
    <col min="3587" max="3587" width="3.42578125" style="4" customWidth="1"/>
    <col min="3588" max="3588" width="14" style="4" bestFit="1" customWidth="1"/>
    <col min="3589" max="3589" width="90.7109375" style="4" customWidth="1"/>
    <col min="3590" max="3595" width="12.7109375" style="4" customWidth="1"/>
    <col min="3596" max="3596" width="13.7109375" style="4" customWidth="1"/>
    <col min="3597" max="3597" width="12.42578125" style="4" customWidth="1"/>
    <col min="3598" max="3840" width="8.7109375" style="4"/>
    <col min="3841" max="3841" width="132.28515625" style="4" customWidth="1"/>
    <col min="3842" max="3842" width="86.7109375" style="4" customWidth="1"/>
    <col min="3843" max="3843" width="3.42578125" style="4" customWidth="1"/>
    <col min="3844" max="3844" width="14" style="4" bestFit="1" customWidth="1"/>
    <col min="3845" max="3845" width="90.7109375" style="4" customWidth="1"/>
    <col min="3846" max="3851" width="12.7109375" style="4" customWidth="1"/>
    <col min="3852" max="3852" width="13.7109375" style="4" customWidth="1"/>
    <col min="3853" max="3853" width="12.42578125" style="4" customWidth="1"/>
    <col min="3854" max="4096" width="8.7109375" style="4"/>
    <col min="4097" max="4097" width="132.28515625" style="4" customWidth="1"/>
    <col min="4098" max="4098" width="86.7109375" style="4" customWidth="1"/>
    <col min="4099" max="4099" width="3.42578125" style="4" customWidth="1"/>
    <col min="4100" max="4100" width="14" style="4" bestFit="1" customWidth="1"/>
    <col min="4101" max="4101" width="90.7109375" style="4" customWidth="1"/>
    <col min="4102" max="4107" width="12.7109375" style="4" customWidth="1"/>
    <col min="4108" max="4108" width="13.7109375" style="4" customWidth="1"/>
    <col min="4109" max="4109" width="12.42578125" style="4" customWidth="1"/>
    <col min="4110" max="4352" width="8.7109375" style="4"/>
    <col min="4353" max="4353" width="132.28515625" style="4" customWidth="1"/>
    <col min="4354" max="4354" width="86.7109375" style="4" customWidth="1"/>
    <col min="4355" max="4355" width="3.42578125" style="4" customWidth="1"/>
    <col min="4356" max="4356" width="14" style="4" bestFit="1" customWidth="1"/>
    <col min="4357" max="4357" width="90.7109375" style="4" customWidth="1"/>
    <col min="4358" max="4363" width="12.7109375" style="4" customWidth="1"/>
    <col min="4364" max="4364" width="13.7109375" style="4" customWidth="1"/>
    <col min="4365" max="4365" width="12.42578125" style="4" customWidth="1"/>
    <col min="4366" max="4608" width="8.7109375" style="4"/>
    <col min="4609" max="4609" width="132.28515625" style="4" customWidth="1"/>
    <col min="4610" max="4610" width="86.7109375" style="4" customWidth="1"/>
    <col min="4611" max="4611" width="3.42578125" style="4" customWidth="1"/>
    <col min="4612" max="4612" width="14" style="4" bestFit="1" customWidth="1"/>
    <col min="4613" max="4613" width="90.7109375" style="4" customWidth="1"/>
    <col min="4614" max="4619" width="12.7109375" style="4" customWidth="1"/>
    <col min="4620" max="4620" width="13.7109375" style="4" customWidth="1"/>
    <col min="4621" max="4621" width="12.42578125" style="4" customWidth="1"/>
    <col min="4622" max="4864" width="8.7109375" style="4"/>
    <col min="4865" max="4865" width="132.28515625" style="4" customWidth="1"/>
    <col min="4866" max="4866" width="86.7109375" style="4" customWidth="1"/>
    <col min="4867" max="4867" width="3.42578125" style="4" customWidth="1"/>
    <col min="4868" max="4868" width="14" style="4" bestFit="1" customWidth="1"/>
    <col min="4869" max="4869" width="90.7109375" style="4" customWidth="1"/>
    <col min="4870" max="4875" width="12.7109375" style="4" customWidth="1"/>
    <col min="4876" max="4876" width="13.7109375" style="4" customWidth="1"/>
    <col min="4877" max="4877" width="12.42578125" style="4" customWidth="1"/>
    <col min="4878" max="5120" width="8.7109375" style="4"/>
    <col min="5121" max="5121" width="132.28515625" style="4" customWidth="1"/>
    <col min="5122" max="5122" width="86.7109375" style="4" customWidth="1"/>
    <col min="5123" max="5123" width="3.42578125" style="4" customWidth="1"/>
    <col min="5124" max="5124" width="14" style="4" bestFit="1" customWidth="1"/>
    <col min="5125" max="5125" width="90.7109375" style="4" customWidth="1"/>
    <col min="5126" max="5131" width="12.7109375" style="4" customWidth="1"/>
    <col min="5132" max="5132" width="13.7109375" style="4" customWidth="1"/>
    <col min="5133" max="5133" width="12.42578125" style="4" customWidth="1"/>
    <col min="5134" max="5376" width="8.7109375" style="4"/>
    <col min="5377" max="5377" width="132.28515625" style="4" customWidth="1"/>
    <col min="5378" max="5378" width="86.7109375" style="4" customWidth="1"/>
    <col min="5379" max="5379" width="3.42578125" style="4" customWidth="1"/>
    <col min="5380" max="5380" width="14" style="4" bestFit="1" customWidth="1"/>
    <col min="5381" max="5381" width="90.7109375" style="4" customWidth="1"/>
    <col min="5382" max="5387" width="12.7109375" style="4" customWidth="1"/>
    <col min="5388" max="5388" width="13.7109375" style="4" customWidth="1"/>
    <col min="5389" max="5389" width="12.42578125" style="4" customWidth="1"/>
    <col min="5390" max="5632" width="8.7109375" style="4"/>
    <col min="5633" max="5633" width="132.28515625" style="4" customWidth="1"/>
    <col min="5634" max="5634" width="86.7109375" style="4" customWidth="1"/>
    <col min="5635" max="5635" width="3.42578125" style="4" customWidth="1"/>
    <col min="5636" max="5636" width="14" style="4" bestFit="1" customWidth="1"/>
    <col min="5637" max="5637" width="90.7109375" style="4" customWidth="1"/>
    <col min="5638" max="5643" width="12.7109375" style="4" customWidth="1"/>
    <col min="5644" max="5644" width="13.7109375" style="4" customWidth="1"/>
    <col min="5645" max="5645" width="12.42578125" style="4" customWidth="1"/>
    <col min="5646" max="5888" width="8.7109375" style="4"/>
    <col min="5889" max="5889" width="132.28515625" style="4" customWidth="1"/>
    <col min="5890" max="5890" width="86.7109375" style="4" customWidth="1"/>
    <col min="5891" max="5891" width="3.42578125" style="4" customWidth="1"/>
    <col min="5892" max="5892" width="14" style="4" bestFit="1" customWidth="1"/>
    <col min="5893" max="5893" width="90.7109375" style="4" customWidth="1"/>
    <col min="5894" max="5899" width="12.7109375" style="4" customWidth="1"/>
    <col min="5900" max="5900" width="13.7109375" style="4" customWidth="1"/>
    <col min="5901" max="5901" width="12.42578125" style="4" customWidth="1"/>
    <col min="5902" max="6144" width="8.7109375" style="4"/>
    <col min="6145" max="6145" width="132.28515625" style="4" customWidth="1"/>
    <col min="6146" max="6146" width="86.7109375" style="4" customWidth="1"/>
    <col min="6147" max="6147" width="3.42578125" style="4" customWidth="1"/>
    <col min="6148" max="6148" width="14" style="4" bestFit="1" customWidth="1"/>
    <col min="6149" max="6149" width="90.7109375" style="4" customWidth="1"/>
    <col min="6150" max="6155" width="12.7109375" style="4" customWidth="1"/>
    <col min="6156" max="6156" width="13.7109375" style="4" customWidth="1"/>
    <col min="6157" max="6157" width="12.42578125" style="4" customWidth="1"/>
    <col min="6158" max="6400" width="8.7109375" style="4"/>
    <col min="6401" max="6401" width="132.28515625" style="4" customWidth="1"/>
    <col min="6402" max="6402" width="86.7109375" style="4" customWidth="1"/>
    <col min="6403" max="6403" width="3.42578125" style="4" customWidth="1"/>
    <col min="6404" max="6404" width="14" style="4" bestFit="1" customWidth="1"/>
    <col min="6405" max="6405" width="90.7109375" style="4" customWidth="1"/>
    <col min="6406" max="6411" width="12.7109375" style="4" customWidth="1"/>
    <col min="6412" max="6412" width="13.7109375" style="4" customWidth="1"/>
    <col min="6413" max="6413" width="12.42578125" style="4" customWidth="1"/>
    <col min="6414" max="6656" width="8.7109375" style="4"/>
    <col min="6657" max="6657" width="132.28515625" style="4" customWidth="1"/>
    <col min="6658" max="6658" width="86.7109375" style="4" customWidth="1"/>
    <col min="6659" max="6659" width="3.42578125" style="4" customWidth="1"/>
    <col min="6660" max="6660" width="14" style="4" bestFit="1" customWidth="1"/>
    <col min="6661" max="6661" width="90.7109375" style="4" customWidth="1"/>
    <col min="6662" max="6667" width="12.7109375" style="4" customWidth="1"/>
    <col min="6668" max="6668" width="13.7109375" style="4" customWidth="1"/>
    <col min="6669" max="6669" width="12.42578125" style="4" customWidth="1"/>
    <col min="6670" max="6912" width="8.7109375" style="4"/>
    <col min="6913" max="6913" width="132.28515625" style="4" customWidth="1"/>
    <col min="6914" max="6914" width="86.7109375" style="4" customWidth="1"/>
    <col min="6915" max="6915" width="3.42578125" style="4" customWidth="1"/>
    <col min="6916" max="6916" width="14" style="4" bestFit="1" customWidth="1"/>
    <col min="6917" max="6917" width="90.7109375" style="4" customWidth="1"/>
    <col min="6918" max="6923" width="12.7109375" style="4" customWidth="1"/>
    <col min="6924" max="6924" width="13.7109375" style="4" customWidth="1"/>
    <col min="6925" max="6925" width="12.42578125" style="4" customWidth="1"/>
    <col min="6926" max="7168" width="8.7109375" style="4"/>
    <col min="7169" max="7169" width="132.28515625" style="4" customWidth="1"/>
    <col min="7170" max="7170" width="86.7109375" style="4" customWidth="1"/>
    <col min="7171" max="7171" width="3.42578125" style="4" customWidth="1"/>
    <col min="7172" max="7172" width="14" style="4" bestFit="1" customWidth="1"/>
    <col min="7173" max="7173" width="90.7109375" style="4" customWidth="1"/>
    <col min="7174" max="7179" width="12.7109375" style="4" customWidth="1"/>
    <col min="7180" max="7180" width="13.7109375" style="4" customWidth="1"/>
    <col min="7181" max="7181" width="12.42578125" style="4" customWidth="1"/>
    <col min="7182" max="7424" width="8.7109375" style="4"/>
    <col min="7425" max="7425" width="132.28515625" style="4" customWidth="1"/>
    <col min="7426" max="7426" width="86.7109375" style="4" customWidth="1"/>
    <col min="7427" max="7427" width="3.42578125" style="4" customWidth="1"/>
    <col min="7428" max="7428" width="14" style="4" bestFit="1" customWidth="1"/>
    <col min="7429" max="7429" width="90.7109375" style="4" customWidth="1"/>
    <col min="7430" max="7435" width="12.7109375" style="4" customWidth="1"/>
    <col min="7436" max="7436" width="13.7109375" style="4" customWidth="1"/>
    <col min="7437" max="7437" width="12.42578125" style="4" customWidth="1"/>
    <col min="7438" max="7680" width="8.7109375" style="4"/>
    <col min="7681" max="7681" width="132.28515625" style="4" customWidth="1"/>
    <col min="7682" max="7682" width="86.7109375" style="4" customWidth="1"/>
    <col min="7683" max="7683" width="3.42578125" style="4" customWidth="1"/>
    <col min="7684" max="7684" width="14" style="4" bestFit="1" customWidth="1"/>
    <col min="7685" max="7685" width="90.7109375" style="4" customWidth="1"/>
    <col min="7686" max="7691" width="12.7109375" style="4" customWidth="1"/>
    <col min="7692" max="7692" width="13.7109375" style="4" customWidth="1"/>
    <col min="7693" max="7693" width="12.42578125" style="4" customWidth="1"/>
    <col min="7694" max="7936" width="8.7109375" style="4"/>
    <col min="7937" max="7937" width="132.28515625" style="4" customWidth="1"/>
    <col min="7938" max="7938" width="86.7109375" style="4" customWidth="1"/>
    <col min="7939" max="7939" width="3.42578125" style="4" customWidth="1"/>
    <col min="7940" max="7940" width="14" style="4" bestFit="1" customWidth="1"/>
    <col min="7941" max="7941" width="90.7109375" style="4" customWidth="1"/>
    <col min="7942" max="7947" width="12.7109375" style="4" customWidth="1"/>
    <col min="7948" max="7948" width="13.7109375" style="4" customWidth="1"/>
    <col min="7949" max="7949" width="12.42578125" style="4" customWidth="1"/>
    <col min="7950" max="8192" width="8.7109375" style="4"/>
    <col min="8193" max="8193" width="132.28515625" style="4" customWidth="1"/>
    <col min="8194" max="8194" width="86.7109375" style="4" customWidth="1"/>
    <col min="8195" max="8195" width="3.42578125" style="4" customWidth="1"/>
    <col min="8196" max="8196" width="14" style="4" bestFit="1" customWidth="1"/>
    <col min="8197" max="8197" width="90.7109375" style="4" customWidth="1"/>
    <col min="8198" max="8203" width="12.7109375" style="4" customWidth="1"/>
    <col min="8204" max="8204" width="13.7109375" style="4" customWidth="1"/>
    <col min="8205" max="8205" width="12.42578125" style="4" customWidth="1"/>
    <col min="8206" max="8448" width="8.7109375" style="4"/>
    <col min="8449" max="8449" width="132.28515625" style="4" customWidth="1"/>
    <col min="8450" max="8450" width="86.7109375" style="4" customWidth="1"/>
    <col min="8451" max="8451" width="3.42578125" style="4" customWidth="1"/>
    <col min="8452" max="8452" width="14" style="4" bestFit="1" customWidth="1"/>
    <col min="8453" max="8453" width="90.7109375" style="4" customWidth="1"/>
    <col min="8454" max="8459" width="12.7109375" style="4" customWidth="1"/>
    <col min="8460" max="8460" width="13.7109375" style="4" customWidth="1"/>
    <col min="8461" max="8461" width="12.42578125" style="4" customWidth="1"/>
    <col min="8462" max="8704" width="8.7109375" style="4"/>
    <col min="8705" max="8705" width="132.28515625" style="4" customWidth="1"/>
    <col min="8706" max="8706" width="86.7109375" style="4" customWidth="1"/>
    <col min="8707" max="8707" width="3.42578125" style="4" customWidth="1"/>
    <col min="8708" max="8708" width="14" style="4" bestFit="1" customWidth="1"/>
    <col min="8709" max="8709" width="90.7109375" style="4" customWidth="1"/>
    <col min="8710" max="8715" width="12.7109375" style="4" customWidth="1"/>
    <col min="8716" max="8716" width="13.7109375" style="4" customWidth="1"/>
    <col min="8717" max="8717" width="12.42578125" style="4" customWidth="1"/>
    <col min="8718" max="8960" width="8.7109375" style="4"/>
    <col min="8961" max="8961" width="132.28515625" style="4" customWidth="1"/>
    <col min="8962" max="8962" width="86.7109375" style="4" customWidth="1"/>
    <col min="8963" max="8963" width="3.42578125" style="4" customWidth="1"/>
    <col min="8964" max="8964" width="14" style="4" bestFit="1" customWidth="1"/>
    <col min="8965" max="8965" width="90.7109375" style="4" customWidth="1"/>
    <col min="8966" max="8971" width="12.7109375" style="4" customWidth="1"/>
    <col min="8972" max="8972" width="13.7109375" style="4" customWidth="1"/>
    <col min="8973" max="8973" width="12.42578125" style="4" customWidth="1"/>
    <col min="8974" max="9216" width="8.7109375" style="4"/>
    <col min="9217" max="9217" width="132.28515625" style="4" customWidth="1"/>
    <col min="9218" max="9218" width="86.7109375" style="4" customWidth="1"/>
    <col min="9219" max="9219" width="3.42578125" style="4" customWidth="1"/>
    <col min="9220" max="9220" width="14" style="4" bestFit="1" customWidth="1"/>
    <col min="9221" max="9221" width="90.7109375" style="4" customWidth="1"/>
    <col min="9222" max="9227" width="12.7109375" style="4" customWidth="1"/>
    <col min="9228" max="9228" width="13.7109375" style="4" customWidth="1"/>
    <col min="9229" max="9229" width="12.42578125" style="4" customWidth="1"/>
    <col min="9230" max="9472" width="8.7109375" style="4"/>
    <col min="9473" max="9473" width="132.28515625" style="4" customWidth="1"/>
    <col min="9474" max="9474" width="86.7109375" style="4" customWidth="1"/>
    <col min="9475" max="9475" width="3.42578125" style="4" customWidth="1"/>
    <col min="9476" max="9476" width="14" style="4" bestFit="1" customWidth="1"/>
    <col min="9477" max="9477" width="90.7109375" style="4" customWidth="1"/>
    <col min="9478" max="9483" width="12.7109375" style="4" customWidth="1"/>
    <col min="9484" max="9484" width="13.7109375" style="4" customWidth="1"/>
    <col min="9485" max="9485" width="12.42578125" style="4" customWidth="1"/>
    <col min="9486" max="9728" width="8.7109375" style="4"/>
    <col min="9729" max="9729" width="132.28515625" style="4" customWidth="1"/>
    <col min="9730" max="9730" width="86.7109375" style="4" customWidth="1"/>
    <col min="9731" max="9731" width="3.42578125" style="4" customWidth="1"/>
    <col min="9732" max="9732" width="14" style="4" bestFit="1" customWidth="1"/>
    <col min="9733" max="9733" width="90.7109375" style="4" customWidth="1"/>
    <col min="9734" max="9739" width="12.7109375" style="4" customWidth="1"/>
    <col min="9740" max="9740" width="13.7109375" style="4" customWidth="1"/>
    <col min="9741" max="9741" width="12.42578125" style="4" customWidth="1"/>
    <col min="9742" max="9984" width="8.7109375" style="4"/>
    <col min="9985" max="9985" width="132.28515625" style="4" customWidth="1"/>
    <col min="9986" max="9986" width="86.7109375" style="4" customWidth="1"/>
    <col min="9987" max="9987" width="3.42578125" style="4" customWidth="1"/>
    <col min="9988" max="9988" width="14" style="4" bestFit="1" customWidth="1"/>
    <col min="9989" max="9989" width="90.7109375" style="4" customWidth="1"/>
    <col min="9990" max="9995" width="12.7109375" style="4" customWidth="1"/>
    <col min="9996" max="9996" width="13.7109375" style="4" customWidth="1"/>
    <col min="9997" max="9997" width="12.42578125" style="4" customWidth="1"/>
    <col min="9998" max="10240" width="8.7109375" style="4"/>
    <col min="10241" max="10241" width="132.28515625" style="4" customWidth="1"/>
    <col min="10242" max="10242" width="86.7109375" style="4" customWidth="1"/>
    <col min="10243" max="10243" width="3.42578125" style="4" customWidth="1"/>
    <col min="10244" max="10244" width="14" style="4" bestFit="1" customWidth="1"/>
    <col min="10245" max="10245" width="90.7109375" style="4" customWidth="1"/>
    <col min="10246" max="10251" width="12.7109375" style="4" customWidth="1"/>
    <col min="10252" max="10252" width="13.7109375" style="4" customWidth="1"/>
    <col min="10253" max="10253" width="12.42578125" style="4" customWidth="1"/>
    <col min="10254" max="10496" width="8.7109375" style="4"/>
    <col min="10497" max="10497" width="132.28515625" style="4" customWidth="1"/>
    <col min="10498" max="10498" width="86.7109375" style="4" customWidth="1"/>
    <col min="10499" max="10499" width="3.42578125" style="4" customWidth="1"/>
    <col min="10500" max="10500" width="14" style="4" bestFit="1" customWidth="1"/>
    <col min="10501" max="10501" width="90.7109375" style="4" customWidth="1"/>
    <col min="10502" max="10507" width="12.7109375" style="4" customWidth="1"/>
    <col min="10508" max="10508" width="13.7109375" style="4" customWidth="1"/>
    <col min="10509" max="10509" width="12.42578125" style="4" customWidth="1"/>
    <col min="10510" max="10752" width="8.7109375" style="4"/>
    <col min="10753" max="10753" width="132.28515625" style="4" customWidth="1"/>
    <col min="10754" max="10754" width="86.7109375" style="4" customWidth="1"/>
    <col min="10755" max="10755" width="3.42578125" style="4" customWidth="1"/>
    <col min="10756" max="10756" width="14" style="4" bestFit="1" customWidth="1"/>
    <col min="10757" max="10757" width="90.7109375" style="4" customWidth="1"/>
    <col min="10758" max="10763" width="12.7109375" style="4" customWidth="1"/>
    <col min="10764" max="10764" width="13.7109375" style="4" customWidth="1"/>
    <col min="10765" max="10765" width="12.42578125" style="4" customWidth="1"/>
    <col min="10766" max="11008" width="8.7109375" style="4"/>
    <col min="11009" max="11009" width="132.28515625" style="4" customWidth="1"/>
    <col min="11010" max="11010" width="86.7109375" style="4" customWidth="1"/>
    <col min="11011" max="11011" width="3.42578125" style="4" customWidth="1"/>
    <col min="11012" max="11012" width="14" style="4" bestFit="1" customWidth="1"/>
    <col min="11013" max="11013" width="90.7109375" style="4" customWidth="1"/>
    <col min="11014" max="11019" width="12.7109375" style="4" customWidth="1"/>
    <col min="11020" max="11020" width="13.7109375" style="4" customWidth="1"/>
    <col min="11021" max="11021" width="12.42578125" style="4" customWidth="1"/>
    <col min="11022" max="11264" width="8.7109375" style="4"/>
    <col min="11265" max="11265" width="132.28515625" style="4" customWidth="1"/>
    <col min="11266" max="11266" width="86.7109375" style="4" customWidth="1"/>
    <col min="11267" max="11267" width="3.42578125" style="4" customWidth="1"/>
    <col min="11268" max="11268" width="14" style="4" bestFit="1" customWidth="1"/>
    <col min="11269" max="11269" width="90.7109375" style="4" customWidth="1"/>
    <col min="11270" max="11275" width="12.7109375" style="4" customWidth="1"/>
    <col min="11276" max="11276" width="13.7109375" style="4" customWidth="1"/>
    <col min="11277" max="11277" width="12.42578125" style="4" customWidth="1"/>
    <col min="11278" max="11520" width="8.7109375" style="4"/>
    <col min="11521" max="11521" width="132.28515625" style="4" customWidth="1"/>
    <col min="11522" max="11522" width="86.7109375" style="4" customWidth="1"/>
    <col min="11523" max="11523" width="3.42578125" style="4" customWidth="1"/>
    <col min="11524" max="11524" width="14" style="4" bestFit="1" customWidth="1"/>
    <col min="11525" max="11525" width="90.7109375" style="4" customWidth="1"/>
    <col min="11526" max="11531" width="12.7109375" style="4" customWidth="1"/>
    <col min="11532" max="11532" width="13.7109375" style="4" customWidth="1"/>
    <col min="11533" max="11533" width="12.42578125" style="4" customWidth="1"/>
    <col min="11534" max="11776" width="8.7109375" style="4"/>
    <col min="11777" max="11777" width="132.28515625" style="4" customWidth="1"/>
    <col min="11778" max="11778" width="86.7109375" style="4" customWidth="1"/>
    <col min="11779" max="11779" width="3.42578125" style="4" customWidth="1"/>
    <col min="11780" max="11780" width="14" style="4" bestFit="1" customWidth="1"/>
    <col min="11781" max="11781" width="90.7109375" style="4" customWidth="1"/>
    <col min="11782" max="11787" width="12.7109375" style="4" customWidth="1"/>
    <col min="11788" max="11788" width="13.7109375" style="4" customWidth="1"/>
    <col min="11789" max="11789" width="12.42578125" style="4" customWidth="1"/>
    <col min="11790" max="12032" width="8.7109375" style="4"/>
    <col min="12033" max="12033" width="132.28515625" style="4" customWidth="1"/>
    <col min="12034" max="12034" width="86.7109375" style="4" customWidth="1"/>
    <col min="12035" max="12035" width="3.42578125" style="4" customWidth="1"/>
    <col min="12036" max="12036" width="14" style="4" bestFit="1" customWidth="1"/>
    <col min="12037" max="12037" width="90.7109375" style="4" customWidth="1"/>
    <col min="12038" max="12043" width="12.7109375" style="4" customWidth="1"/>
    <col min="12044" max="12044" width="13.7109375" style="4" customWidth="1"/>
    <col min="12045" max="12045" width="12.42578125" style="4" customWidth="1"/>
    <col min="12046" max="12288" width="8.7109375" style="4"/>
    <col min="12289" max="12289" width="132.28515625" style="4" customWidth="1"/>
    <col min="12290" max="12290" width="86.7109375" style="4" customWidth="1"/>
    <col min="12291" max="12291" width="3.42578125" style="4" customWidth="1"/>
    <col min="12292" max="12292" width="14" style="4" bestFit="1" customWidth="1"/>
    <col min="12293" max="12293" width="90.7109375" style="4" customWidth="1"/>
    <col min="12294" max="12299" width="12.7109375" style="4" customWidth="1"/>
    <col min="12300" max="12300" width="13.7109375" style="4" customWidth="1"/>
    <col min="12301" max="12301" width="12.42578125" style="4" customWidth="1"/>
    <col min="12302" max="12544" width="8.7109375" style="4"/>
    <col min="12545" max="12545" width="132.28515625" style="4" customWidth="1"/>
    <col min="12546" max="12546" width="86.7109375" style="4" customWidth="1"/>
    <col min="12547" max="12547" width="3.42578125" style="4" customWidth="1"/>
    <col min="12548" max="12548" width="14" style="4" bestFit="1" customWidth="1"/>
    <col min="12549" max="12549" width="90.7109375" style="4" customWidth="1"/>
    <col min="12550" max="12555" width="12.7109375" style="4" customWidth="1"/>
    <col min="12556" max="12556" width="13.7109375" style="4" customWidth="1"/>
    <col min="12557" max="12557" width="12.42578125" style="4" customWidth="1"/>
    <col min="12558" max="12800" width="8.7109375" style="4"/>
    <col min="12801" max="12801" width="132.28515625" style="4" customWidth="1"/>
    <col min="12802" max="12802" width="86.7109375" style="4" customWidth="1"/>
    <col min="12803" max="12803" width="3.42578125" style="4" customWidth="1"/>
    <col min="12804" max="12804" width="14" style="4" bestFit="1" customWidth="1"/>
    <col min="12805" max="12805" width="90.7109375" style="4" customWidth="1"/>
    <col min="12806" max="12811" width="12.7109375" style="4" customWidth="1"/>
    <col min="12812" max="12812" width="13.7109375" style="4" customWidth="1"/>
    <col min="12813" max="12813" width="12.42578125" style="4" customWidth="1"/>
    <col min="12814" max="13056" width="8.7109375" style="4"/>
    <col min="13057" max="13057" width="132.28515625" style="4" customWidth="1"/>
    <col min="13058" max="13058" width="86.7109375" style="4" customWidth="1"/>
    <col min="13059" max="13059" width="3.42578125" style="4" customWidth="1"/>
    <col min="13060" max="13060" width="14" style="4" bestFit="1" customWidth="1"/>
    <col min="13061" max="13061" width="90.7109375" style="4" customWidth="1"/>
    <col min="13062" max="13067" width="12.7109375" style="4" customWidth="1"/>
    <col min="13068" max="13068" width="13.7109375" style="4" customWidth="1"/>
    <col min="13069" max="13069" width="12.42578125" style="4" customWidth="1"/>
    <col min="13070" max="13312" width="8.7109375" style="4"/>
    <col min="13313" max="13313" width="132.28515625" style="4" customWidth="1"/>
    <col min="13314" max="13314" width="86.7109375" style="4" customWidth="1"/>
    <col min="13315" max="13315" width="3.42578125" style="4" customWidth="1"/>
    <col min="13316" max="13316" width="14" style="4" bestFit="1" customWidth="1"/>
    <col min="13317" max="13317" width="90.7109375" style="4" customWidth="1"/>
    <col min="13318" max="13323" width="12.7109375" style="4" customWidth="1"/>
    <col min="13324" max="13324" width="13.7109375" style="4" customWidth="1"/>
    <col min="13325" max="13325" width="12.42578125" style="4" customWidth="1"/>
    <col min="13326" max="13568" width="8.7109375" style="4"/>
    <col min="13569" max="13569" width="132.28515625" style="4" customWidth="1"/>
    <col min="13570" max="13570" width="86.7109375" style="4" customWidth="1"/>
    <col min="13571" max="13571" width="3.42578125" style="4" customWidth="1"/>
    <col min="13572" max="13572" width="14" style="4" bestFit="1" customWidth="1"/>
    <col min="13573" max="13573" width="90.7109375" style="4" customWidth="1"/>
    <col min="13574" max="13579" width="12.7109375" style="4" customWidth="1"/>
    <col min="13580" max="13580" width="13.7109375" style="4" customWidth="1"/>
    <col min="13581" max="13581" width="12.42578125" style="4" customWidth="1"/>
    <col min="13582" max="13824" width="8.7109375" style="4"/>
    <col min="13825" max="13825" width="132.28515625" style="4" customWidth="1"/>
    <col min="13826" max="13826" width="86.7109375" style="4" customWidth="1"/>
    <col min="13827" max="13827" width="3.42578125" style="4" customWidth="1"/>
    <col min="13828" max="13828" width="14" style="4" bestFit="1" customWidth="1"/>
    <col min="13829" max="13829" width="90.7109375" style="4" customWidth="1"/>
    <col min="13830" max="13835" width="12.7109375" style="4" customWidth="1"/>
    <col min="13836" max="13836" width="13.7109375" style="4" customWidth="1"/>
    <col min="13837" max="13837" width="12.42578125" style="4" customWidth="1"/>
    <col min="13838" max="14080" width="8.7109375" style="4"/>
    <col min="14081" max="14081" width="132.28515625" style="4" customWidth="1"/>
    <col min="14082" max="14082" width="86.7109375" style="4" customWidth="1"/>
    <col min="14083" max="14083" width="3.42578125" style="4" customWidth="1"/>
    <col min="14084" max="14084" width="14" style="4" bestFit="1" customWidth="1"/>
    <col min="14085" max="14085" width="90.7109375" style="4" customWidth="1"/>
    <col min="14086" max="14091" width="12.7109375" style="4" customWidth="1"/>
    <col min="14092" max="14092" width="13.7109375" style="4" customWidth="1"/>
    <col min="14093" max="14093" width="12.42578125" style="4" customWidth="1"/>
    <col min="14094" max="14336" width="8.7109375" style="4"/>
    <col min="14337" max="14337" width="132.28515625" style="4" customWidth="1"/>
    <col min="14338" max="14338" width="86.7109375" style="4" customWidth="1"/>
    <col min="14339" max="14339" width="3.42578125" style="4" customWidth="1"/>
    <col min="14340" max="14340" width="14" style="4" bestFit="1" customWidth="1"/>
    <col min="14341" max="14341" width="90.7109375" style="4" customWidth="1"/>
    <col min="14342" max="14347" width="12.7109375" style="4" customWidth="1"/>
    <col min="14348" max="14348" width="13.7109375" style="4" customWidth="1"/>
    <col min="14349" max="14349" width="12.42578125" style="4" customWidth="1"/>
    <col min="14350" max="14592" width="8.7109375" style="4"/>
    <col min="14593" max="14593" width="132.28515625" style="4" customWidth="1"/>
    <col min="14594" max="14594" width="86.7109375" style="4" customWidth="1"/>
    <col min="14595" max="14595" width="3.42578125" style="4" customWidth="1"/>
    <col min="14596" max="14596" width="14" style="4" bestFit="1" customWidth="1"/>
    <col min="14597" max="14597" width="90.7109375" style="4" customWidth="1"/>
    <col min="14598" max="14603" width="12.7109375" style="4" customWidth="1"/>
    <col min="14604" max="14604" width="13.7109375" style="4" customWidth="1"/>
    <col min="14605" max="14605" width="12.42578125" style="4" customWidth="1"/>
    <col min="14606" max="14848" width="8.7109375" style="4"/>
    <col min="14849" max="14849" width="132.28515625" style="4" customWidth="1"/>
    <col min="14850" max="14850" width="86.7109375" style="4" customWidth="1"/>
    <col min="14851" max="14851" width="3.42578125" style="4" customWidth="1"/>
    <col min="14852" max="14852" width="14" style="4" bestFit="1" customWidth="1"/>
    <col min="14853" max="14853" width="90.7109375" style="4" customWidth="1"/>
    <col min="14854" max="14859" width="12.7109375" style="4" customWidth="1"/>
    <col min="14860" max="14860" width="13.7109375" style="4" customWidth="1"/>
    <col min="14861" max="14861" width="12.42578125" style="4" customWidth="1"/>
    <col min="14862" max="15104" width="8.7109375" style="4"/>
    <col min="15105" max="15105" width="132.28515625" style="4" customWidth="1"/>
    <col min="15106" max="15106" width="86.7109375" style="4" customWidth="1"/>
    <col min="15107" max="15107" width="3.42578125" style="4" customWidth="1"/>
    <col min="15108" max="15108" width="14" style="4" bestFit="1" customWidth="1"/>
    <col min="15109" max="15109" width="90.7109375" style="4" customWidth="1"/>
    <col min="15110" max="15115" width="12.7109375" style="4" customWidth="1"/>
    <col min="15116" max="15116" width="13.7109375" style="4" customWidth="1"/>
    <col min="15117" max="15117" width="12.42578125" style="4" customWidth="1"/>
    <col min="15118" max="15360" width="8.7109375" style="4"/>
    <col min="15361" max="15361" width="132.28515625" style="4" customWidth="1"/>
    <col min="15362" max="15362" width="86.7109375" style="4" customWidth="1"/>
    <col min="15363" max="15363" width="3.42578125" style="4" customWidth="1"/>
    <col min="15364" max="15364" width="14" style="4" bestFit="1" customWidth="1"/>
    <col min="15365" max="15365" width="90.7109375" style="4" customWidth="1"/>
    <col min="15366" max="15371" width="12.7109375" style="4" customWidth="1"/>
    <col min="15372" max="15372" width="13.7109375" style="4" customWidth="1"/>
    <col min="15373" max="15373" width="12.42578125" style="4" customWidth="1"/>
    <col min="15374" max="15616" width="8.7109375" style="4"/>
    <col min="15617" max="15617" width="132.28515625" style="4" customWidth="1"/>
    <col min="15618" max="15618" width="86.7109375" style="4" customWidth="1"/>
    <col min="15619" max="15619" width="3.42578125" style="4" customWidth="1"/>
    <col min="15620" max="15620" width="14" style="4" bestFit="1" customWidth="1"/>
    <col min="15621" max="15621" width="90.7109375" style="4" customWidth="1"/>
    <col min="15622" max="15627" width="12.7109375" style="4" customWidth="1"/>
    <col min="15628" max="15628" width="13.7109375" style="4" customWidth="1"/>
    <col min="15629" max="15629" width="12.42578125" style="4" customWidth="1"/>
    <col min="15630" max="15872" width="8.7109375" style="4"/>
    <col min="15873" max="15873" width="132.28515625" style="4" customWidth="1"/>
    <col min="15874" max="15874" width="86.7109375" style="4" customWidth="1"/>
    <col min="15875" max="15875" width="3.42578125" style="4" customWidth="1"/>
    <col min="15876" max="15876" width="14" style="4" bestFit="1" customWidth="1"/>
    <col min="15877" max="15877" width="90.7109375" style="4" customWidth="1"/>
    <col min="15878" max="15883" width="12.7109375" style="4" customWidth="1"/>
    <col min="15884" max="15884" width="13.7109375" style="4" customWidth="1"/>
    <col min="15885" max="15885" width="12.42578125" style="4" customWidth="1"/>
    <col min="15886" max="16128" width="8.7109375" style="4"/>
    <col min="16129" max="16129" width="132.28515625" style="4" customWidth="1"/>
    <col min="16130" max="16130" width="86.7109375" style="4" customWidth="1"/>
    <col min="16131" max="16131" width="3.42578125" style="4" customWidth="1"/>
    <col min="16132" max="16132" width="14" style="4" bestFit="1" customWidth="1"/>
    <col min="16133" max="16133" width="90.7109375" style="4" customWidth="1"/>
    <col min="16134" max="16139" width="12.7109375" style="4" customWidth="1"/>
    <col min="16140" max="16140" width="13.7109375" style="4" customWidth="1"/>
    <col min="16141" max="16141" width="12.42578125" style="4" customWidth="1"/>
    <col min="16142" max="16384" width="8.7109375" style="4"/>
  </cols>
  <sheetData>
    <row r="1" spans="1:12" ht="45" x14ac:dyDescent="0.6">
      <c r="A1" s="19" t="s">
        <v>273</v>
      </c>
      <c r="B1" s="32"/>
      <c r="F1" s="20"/>
    </row>
    <row r="2" spans="1:12" ht="11.25" customHeight="1" x14ac:dyDescent="0.6">
      <c r="A2" s="19"/>
      <c r="F2" s="20"/>
    </row>
    <row r="3" spans="1:12" ht="20.100000000000001" customHeight="1" x14ac:dyDescent="0.3">
      <c r="A3" s="21" t="s">
        <v>89</v>
      </c>
      <c r="D3" s="21"/>
      <c r="F3" s="22"/>
    </row>
    <row r="4" spans="1:12" ht="28.5" customHeight="1" x14ac:dyDescent="0.3">
      <c r="A4" s="22"/>
      <c r="F4" s="22"/>
    </row>
    <row r="5" spans="1:12" x14ac:dyDescent="0.25">
      <c r="A5" s="7" t="str">
        <f>"Projectnaam:                    "&amp;Productie_en_afzet!B6</f>
        <v xml:space="preserve">Projectnaam:                    </v>
      </c>
      <c r="B5" s="7"/>
      <c r="C5" s="7"/>
    </row>
    <row r="6" spans="1:12" ht="21.75" customHeight="1" x14ac:dyDescent="0.25">
      <c r="A6" s="7" t="s">
        <v>325</v>
      </c>
      <c r="B6" s="7"/>
      <c r="C6" s="7"/>
    </row>
    <row r="7" spans="1:12" ht="13.5" customHeight="1" x14ac:dyDescent="0.25">
      <c r="A7" s="105" t="str">
        <f>Hulpblad_categorieën_parameters!C7</f>
        <v>Elektrolyser met aansluiting gekoppeld aan het elektriciteitsnet</v>
      </c>
      <c r="B7" s="7"/>
      <c r="C7" s="7"/>
    </row>
    <row r="8" spans="1:12" ht="26.25" customHeight="1" x14ac:dyDescent="0.25">
      <c r="A8" s="24"/>
      <c r="D8" s="23"/>
      <c r="E8" s="23"/>
      <c r="F8" s="23"/>
      <c r="G8" s="23"/>
      <c r="H8" s="23"/>
      <c r="I8" s="23"/>
      <c r="J8" s="23"/>
      <c r="K8" s="23"/>
      <c r="L8" s="23"/>
    </row>
    <row r="9" spans="1:12" ht="18" x14ac:dyDescent="0.25">
      <c r="A9" s="21" t="s">
        <v>90</v>
      </c>
    </row>
    <row r="10" spans="1:12" ht="18" x14ac:dyDescent="0.25">
      <c r="A10" s="21"/>
    </row>
    <row r="11" spans="1:12" x14ac:dyDescent="0.25">
      <c r="A11" s="23" t="s">
        <v>91</v>
      </c>
    </row>
    <row r="12" spans="1:12" ht="12.75" customHeight="1" x14ac:dyDescent="0.25">
      <c r="A12" s="43" t="str">
        <f>Financieringsplan!H52</f>
        <v/>
      </c>
      <c r="B12" s="4"/>
      <c r="C12" s="26"/>
    </row>
    <row r="13" spans="1:12" ht="12.75" customHeight="1" x14ac:dyDescent="0.25">
      <c r="A13" s="23"/>
      <c r="B13" s="44"/>
      <c r="C13" s="26"/>
    </row>
    <row r="14" spans="1:12" x14ac:dyDescent="0.25">
      <c r="A14" s="45" t="s">
        <v>92</v>
      </c>
      <c r="B14" s="4"/>
      <c r="C14" s="26"/>
    </row>
    <row r="15" spans="1:12" x14ac:dyDescent="0.25">
      <c r="A15" s="46" t="str">
        <f>Financieringsplan!H15</f>
        <v>Voeg een jaarrekening toe</v>
      </c>
      <c r="B15" s="26"/>
      <c r="C15" s="26"/>
    </row>
    <row r="16" spans="1:12" x14ac:dyDescent="0.25">
      <c r="A16" s="30"/>
      <c r="B16" s="26"/>
      <c r="C16" s="26"/>
    </row>
    <row r="17" spans="1:12" x14ac:dyDescent="0.25">
      <c r="A17" s="23" t="s">
        <v>93</v>
      </c>
      <c r="B17" s="4"/>
      <c r="C17" s="26"/>
    </row>
    <row r="18" spans="1:12" x14ac:dyDescent="0.25">
      <c r="A18" s="47" t="str">
        <f>Financieringsplan!H57</f>
        <v/>
      </c>
      <c r="B18" s="4"/>
      <c r="C18" s="26"/>
      <c r="D18" s="8"/>
      <c r="F18" s="25"/>
      <c r="G18" s="25"/>
      <c r="H18" s="25"/>
      <c r="I18" s="25"/>
      <c r="J18" s="25"/>
      <c r="K18" s="25"/>
      <c r="L18" s="25"/>
    </row>
    <row r="19" spans="1:12" x14ac:dyDescent="0.25">
      <c r="A19" s="48" t="str">
        <f>Financieringsplan!H58</f>
        <v/>
      </c>
      <c r="B19" s="4"/>
      <c r="C19" s="26"/>
      <c r="D19" s="31"/>
      <c r="F19" s="25"/>
      <c r="G19" s="25"/>
      <c r="H19" s="25"/>
      <c r="I19" s="25"/>
      <c r="J19" s="25"/>
      <c r="K19" s="25"/>
      <c r="L19" s="25"/>
    </row>
    <row r="20" spans="1:12" x14ac:dyDescent="0.25">
      <c r="A20" s="48" t="str">
        <f>Financieringsplan!H59</f>
        <v/>
      </c>
      <c r="B20" s="4"/>
      <c r="C20" s="26"/>
      <c r="D20" s="31"/>
      <c r="F20" s="25"/>
      <c r="G20" s="25"/>
      <c r="H20" s="25"/>
      <c r="I20" s="25"/>
      <c r="J20" s="25"/>
      <c r="K20" s="25"/>
      <c r="L20" s="25"/>
    </row>
    <row r="21" spans="1:12" x14ac:dyDescent="0.25">
      <c r="A21" s="48" t="str">
        <f>Financieringsplan!H60</f>
        <v/>
      </c>
      <c r="B21" s="4"/>
      <c r="C21" s="26"/>
      <c r="D21" s="31"/>
      <c r="F21" s="25"/>
      <c r="G21" s="25"/>
      <c r="H21" s="25"/>
      <c r="I21" s="25"/>
      <c r="J21" s="25"/>
      <c r="K21" s="25"/>
      <c r="L21" s="25"/>
    </row>
    <row r="22" spans="1:12" x14ac:dyDescent="0.25">
      <c r="A22" s="48" t="str">
        <f>Financieringsplan!H61</f>
        <v/>
      </c>
      <c r="B22" s="4"/>
      <c r="C22" s="26"/>
      <c r="D22" s="31"/>
      <c r="F22" s="25"/>
      <c r="G22" s="25"/>
      <c r="H22" s="25"/>
      <c r="I22" s="25"/>
      <c r="J22" s="25"/>
      <c r="K22" s="25"/>
      <c r="L22" s="25"/>
    </row>
    <row r="23" spans="1:12" x14ac:dyDescent="0.25">
      <c r="A23" s="48" t="str">
        <f>Financieringsplan!H62</f>
        <v/>
      </c>
      <c r="B23" s="4"/>
      <c r="C23" s="26"/>
      <c r="D23" s="8"/>
      <c r="E23" s="25"/>
      <c r="F23" s="25"/>
      <c r="G23" s="25"/>
      <c r="H23" s="25"/>
      <c r="I23" s="25"/>
      <c r="J23" s="25"/>
      <c r="K23" s="25"/>
      <c r="L23" s="25"/>
    </row>
    <row r="24" spans="1:12" x14ac:dyDescent="0.25">
      <c r="A24" s="48" t="str">
        <f>Financieringsplan!H63</f>
        <v/>
      </c>
      <c r="B24" s="4"/>
      <c r="C24" s="26"/>
      <c r="D24" s="8"/>
      <c r="E24" s="25"/>
      <c r="F24" s="25"/>
      <c r="G24" s="25"/>
      <c r="H24" s="25"/>
      <c r="I24" s="25"/>
      <c r="J24" s="25"/>
      <c r="K24" s="25"/>
      <c r="L24" s="25"/>
    </row>
    <row r="25" spans="1:12" x14ac:dyDescent="0.25">
      <c r="A25" s="48" t="str">
        <f>Financieringsplan!H64</f>
        <v/>
      </c>
      <c r="B25" s="4"/>
      <c r="C25" s="26"/>
      <c r="E25" s="25"/>
      <c r="F25" s="25"/>
      <c r="G25" s="25"/>
      <c r="H25" s="25"/>
      <c r="I25" s="25"/>
      <c r="J25" s="25"/>
      <c r="K25" s="25"/>
      <c r="L25" s="25"/>
    </row>
    <row r="26" spans="1:12" x14ac:dyDescent="0.25">
      <c r="A26" s="48" t="str">
        <f>Financieringsplan!H65</f>
        <v/>
      </c>
      <c r="B26" s="4"/>
      <c r="C26" s="26"/>
      <c r="D26" s="8"/>
      <c r="E26" s="25"/>
      <c r="F26" s="25"/>
      <c r="G26" s="25"/>
      <c r="H26" s="25"/>
      <c r="I26" s="25"/>
      <c r="J26" s="25"/>
      <c r="K26" s="25"/>
      <c r="L26" s="25"/>
    </row>
    <row r="27" spans="1:12" x14ac:dyDescent="0.25">
      <c r="A27" s="49" t="str">
        <f>Financieringsplan!H66</f>
        <v/>
      </c>
      <c r="B27" s="26"/>
      <c r="C27" s="26"/>
      <c r="D27" s="8"/>
      <c r="E27" s="25"/>
      <c r="F27" s="25"/>
      <c r="G27" s="25"/>
      <c r="H27" s="25"/>
      <c r="I27" s="25"/>
      <c r="J27" s="25"/>
      <c r="K27" s="25"/>
      <c r="L27" s="25"/>
    </row>
    <row r="28" spans="1:12" x14ac:dyDescent="0.25">
      <c r="A28" s="26"/>
      <c r="B28" s="26"/>
      <c r="C28" s="26"/>
      <c r="D28" s="8"/>
      <c r="E28" s="25"/>
      <c r="F28" s="25"/>
      <c r="G28" s="25"/>
      <c r="H28" s="25"/>
      <c r="I28" s="25"/>
      <c r="J28" s="25"/>
      <c r="K28" s="25"/>
      <c r="L28" s="25"/>
    </row>
    <row r="29" spans="1:12" x14ac:dyDescent="0.25">
      <c r="A29" s="23" t="s">
        <v>94</v>
      </c>
      <c r="B29" s="4"/>
      <c r="C29" s="26"/>
      <c r="D29" s="8"/>
      <c r="E29" s="25"/>
      <c r="F29" s="25"/>
      <c r="G29" s="25"/>
      <c r="H29" s="25"/>
      <c r="I29" s="25"/>
      <c r="J29" s="25"/>
      <c r="K29" s="25"/>
      <c r="L29" s="25"/>
    </row>
    <row r="30" spans="1:12" x14ac:dyDescent="0.25">
      <c r="A30" s="47" t="str">
        <f>Financieringsplan!H68</f>
        <v/>
      </c>
      <c r="B30" s="4"/>
      <c r="C30" s="26"/>
      <c r="D30" s="8"/>
      <c r="E30" s="25"/>
      <c r="F30" s="25"/>
      <c r="G30" s="25"/>
      <c r="H30" s="25"/>
      <c r="I30" s="25"/>
      <c r="J30" s="25"/>
      <c r="K30" s="25"/>
      <c r="L30" s="25"/>
    </row>
    <row r="31" spans="1:12" x14ac:dyDescent="0.25">
      <c r="A31" s="48" t="str">
        <f>Financieringsplan!H69</f>
        <v/>
      </c>
      <c r="B31" s="4"/>
      <c r="C31" s="26"/>
      <c r="D31" s="8"/>
      <c r="E31" s="25"/>
      <c r="F31" s="25"/>
      <c r="G31" s="25"/>
      <c r="H31" s="25"/>
      <c r="I31" s="25"/>
      <c r="J31" s="25"/>
      <c r="K31" s="25"/>
      <c r="L31" s="25"/>
    </row>
    <row r="32" spans="1:12" x14ac:dyDescent="0.25">
      <c r="A32" s="48" t="str">
        <f>Financieringsplan!H70</f>
        <v/>
      </c>
      <c r="B32" s="4"/>
      <c r="C32" s="26"/>
      <c r="D32" s="8"/>
      <c r="E32" s="25"/>
      <c r="F32" s="25"/>
      <c r="G32" s="25"/>
      <c r="H32" s="25"/>
      <c r="I32" s="25"/>
      <c r="J32" s="25"/>
      <c r="K32" s="25"/>
      <c r="L32" s="25"/>
    </row>
    <row r="33" spans="1:12" x14ac:dyDescent="0.25">
      <c r="A33" s="48" t="str">
        <f>Financieringsplan!H71</f>
        <v/>
      </c>
      <c r="B33" s="4"/>
      <c r="C33" s="26"/>
      <c r="D33" s="8"/>
      <c r="E33" s="25"/>
      <c r="F33" s="25"/>
      <c r="G33" s="25"/>
      <c r="H33" s="25"/>
      <c r="I33" s="25"/>
      <c r="J33" s="25"/>
      <c r="K33" s="25"/>
      <c r="L33" s="25"/>
    </row>
    <row r="34" spans="1:12" x14ac:dyDescent="0.25">
      <c r="A34" s="49" t="str">
        <f>Financieringsplan!H72</f>
        <v/>
      </c>
      <c r="B34" s="26"/>
      <c r="C34" s="26"/>
      <c r="D34" s="8"/>
      <c r="E34" s="25"/>
      <c r="F34" s="25"/>
      <c r="G34" s="25"/>
      <c r="H34" s="25"/>
      <c r="I34" s="25"/>
      <c r="J34" s="25"/>
      <c r="K34" s="25"/>
      <c r="L34" s="25"/>
    </row>
    <row r="35" spans="1:12" x14ac:dyDescent="0.25">
      <c r="A35" s="26"/>
      <c r="B35" s="26"/>
      <c r="C35" s="26"/>
      <c r="D35" s="8"/>
      <c r="E35" s="25"/>
      <c r="F35" s="25"/>
      <c r="G35" s="25"/>
      <c r="H35" s="25"/>
      <c r="I35" s="25"/>
      <c r="J35" s="25"/>
      <c r="K35" s="25"/>
      <c r="L35" s="25"/>
    </row>
    <row r="36" spans="1:12" x14ac:dyDescent="0.25">
      <c r="A36" s="23" t="s">
        <v>95</v>
      </c>
      <c r="B36" s="4"/>
      <c r="C36" s="26"/>
      <c r="D36" s="8"/>
      <c r="E36" s="25"/>
      <c r="F36" s="25"/>
      <c r="G36" s="25"/>
      <c r="H36" s="25"/>
      <c r="I36" s="25"/>
      <c r="J36" s="25"/>
      <c r="K36" s="25"/>
      <c r="L36" s="25"/>
    </row>
    <row r="37" spans="1:12" ht="27.75" customHeight="1" x14ac:dyDescent="0.25">
      <c r="A37" s="50" t="str">
        <f>IF(Hulpblad_overig!B23=1,Financieringsplan!H54,"")</f>
        <v/>
      </c>
      <c r="B37" s="26"/>
      <c r="C37" s="26"/>
      <c r="D37" s="8"/>
      <c r="E37" s="25"/>
      <c r="F37" s="25"/>
      <c r="G37" s="25"/>
      <c r="H37" s="25"/>
      <c r="I37" s="25"/>
      <c r="J37" s="25"/>
      <c r="K37" s="25"/>
      <c r="L37" s="25"/>
    </row>
    <row r="38" spans="1:12" x14ac:dyDescent="0.25">
      <c r="A38" s="26"/>
      <c r="B38" s="26"/>
      <c r="C38" s="26"/>
      <c r="D38" s="8"/>
      <c r="E38" s="25"/>
      <c r="F38" s="25"/>
      <c r="G38" s="25"/>
      <c r="H38" s="25"/>
      <c r="I38" s="25"/>
      <c r="J38" s="25"/>
      <c r="K38" s="25"/>
      <c r="L38" s="25"/>
    </row>
    <row r="39" spans="1:12" x14ac:dyDescent="0.25">
      <c r="A39" s="23" t="s">
        <v>96</v>
      </c>
      <c r="B39" s="26"/>
      <c r="C39" s="26"/>
      <c r="D39" s="8"/>
      <c r="E39" s="25"/>
      <c r="F39" s="25"/>
      <c r="G39" s="25"/>
      <c r="H39" s="25"/>
      <c r="I39" s="25"/>
      <c r="J39" s="25"/>
      <c r="K39" s="25"/>
      <c r="L39" s="25"/>
    </row>
    <row r="40" spans="1:12" x14ac:dyDescent="0.25">
      <c r="A40" s="51" t="e">
        <f>IF(AND(Hulpblad_overig!B8=2,Financieringsplan!$E$13&lt;20%),"Voeg contract, offerte of intentieverklaring toe van financier ",IF(AND(Hulpblad_overig!B8=1,Financieringsplan!G74&lt;20%),"Voeg contract, offerte of intentieverklaring toe van financier "&amp;Financieringsplan!B79&amp;"",""))</f>
        <v>#DIV/0!</v>
      </c>
      <c r="B40" s="26"/>
      <c r="C40" s="26"/>
      <c r="D40" s="8"/>
      <c r="E40" s="25"/>
      <c r="F40" s="25"/>
      <c r="G40" s="25"/>
      <c r="H40" s="25"/>
      <c r="I40" s="25"/>
      <c r="J40" s="25"/>
      <c r="K40" s="25"/>
      <c r="L40" s="25"/>
    </row>
    <row r="41" spans="1:12" x14ac:dyDescent="0.25">
      <c r="A41" s="52" t="e">
        <f>IF(AND(Financieringsplan!G80&gt;0,Financieringsplan!$G$74&lt;20%),"Voeg contract, offerte of intentieverklaring toe van financier "&amp;Financieringsplan!B80&amp;"","")</f>
        <v>#DIV/0!</v>
      </c>
      <c r="B41" s="26"/>
      <c r="C41" s="26"/>
      <c r="D41" s="8"/>
      <c r="E41" s="25"/>
      <c r="F41" s="25"/>
      <c r="G41" s="25"/>
      <c r="H41" s="25"/>
      <c r="I41" s="25"/>
      <c r="J41" s="25"/>
      <c r="K41" s="25"/>
      <c r="L41" s="25"/>
    </row>
    <row r="42" spans="1:12" x14ac:dyDescent="0.25">
      <c r="A42" s="48" t="e">
        <f>IF(AND(Financieringsplan!G81&gt;0,Financieringsplan!$G$74&lt;20%),"Voeg contract, offerte of intentieverklaring toe van financier "&amp;Financieringsplan!B81&amp;"","")</f>
        <v>#DIV/0!</v>
      </c>
      <c r="B42" s="26"/>
      <c r="C42" s="26"/>
      <c r="D42" s="8"/>
      <c r="E42" s="25"/>
      <c r="F42" s="25"/>
      <c r="G42" s="25"/>
      <c r="H42" s="25"/>
      <c r="I42" s="25"/>
      <c r="J42" s="25"/>
      <c r="K42" s="25"/>
      <c r="L42" s="25"/>
    </row>
    <row r="43" spans="1:12" x14ac:dyDescent="0.25">
      <c r="A43" s="48" t="e">
        <f>IF(AND(Financieringsplan!G82&gt;0,Financieringsplan!$G$74&lt;20%),"Voeg contract, offerte of intentieverklaring toe van financier "&amp;Financieringsplan!B82&amp;"","")</f>
        <v>#DIV/0!</v>
      </c>
      <c r="B43" s="26"/>
      <c r="C43" s="26"/>
      <c r="D43" s="8"/>
      <c r="E43" s="25"/>
      <c r="F43" s="25"/>
      <c r="G43" s="25"/>
      <c r="H43" s="25"/>
      <c r="I43" s="25"/>
      <c r="J43" s="25"/>
      <c r="K43" s="25"/>
      <c r="L43" s="25"/>
    </row>
    <row r="44" spans="1:12" x14ac:dyDescent="0.25">
      <c r="A44" s="48" t="e">
        <f>IF(AND(Financieringsplan!G83&gt;0,Financieringsplan!$G$74&lt;20%),"Voeg contract, offerte of intentieverklaring toe van financier "&amp;Financieringsplan!B83&amp;"","")</f>
        <v>#DIV/0!</v>
      </c>
      <c r="B44" s="26"/>
      <c r="C44" s="26"/>
      <c r="D44" s="8"/>
      <c r="E44" s="25"/>
      <c r="F44" s="25"/>
      <c r="G44" s="25"/>
      <c r="H44" s="25"/>
      <c r="I44" s="25"/>
      <c r="J44" s="25"/>
      <c r="K44" s="25"/>
      <c r="L44" s="25"/>
    </row>
    <row r="45" spans="1:12" x14ac:dyDescent="0.25">
      <c r="A45" s="48" t="e">
        <f>IF(AND(Financieringsplan!G84&gt;0,Financieringsplan!$G$74&lt;20%),"Voeg contract, offerte of intentieverklaring toe van financier "&amp;Financieringsplan!B84&amp;"","")</f>
        <v>#DIV/0!</v>
      </c>
      <c r="B45" s="26"/>
      <c r="C45" s="26"/>
      <c r="D45" s="8"/>
      <c r="E45" s="25"/>
      <c r="F45" s="25"/>
      <c r="G45" s="25"/>
      <c r="H45" s="25"/>
      <c r="I45" s="25"/>
      <c r="J45" s="25"/>
      <c r="K45" s="25"/>
      <c r="L45" s="25"/>
    </row>
    <row r="46" spans="1:12" x14ac:dyDescent="0.25">
      <c r="A46" s="48" t="e">
        <f>IF(AND(Financieringsplan!G85&gt;0,Financieringsplan!$G$74&lt;20%),"Voeg contract, offerte of intentieverklaring toe van financier "&amp;Financieringsplan!B85&amp;"","")</f>
        <v>#DIV/0!</v>
      </c>
      <c r="B46" s="26"/>
      <c r="C46" s="26"/>
      <c r="D46" s="8"/>
      <c r="E46" s="25"/>
      <c r="F46" s="25"/>
      <c r="G46" s="25"/>
      <c r="H46" s="25"/>
      <c r="I46" s="25"/>
      <c r="J46" s="25"/>
      <c r="K46" s="25"/>
      <c r="L46" s="25"/>
    </row>
    <row r="47" spans="1:12" x14ac:dyDescent="0.25">
      <c r="A47" s="48" t="e">
        <f>IF(AND(Financieringsplan!G86&gt;0,Financieringsplan!$G$74&lt;20%),"Voeg contract, offerte of intentieverklaring toe van financier "&amp;Financieringsplan!B86&amp;"","")</f>
        <v>#DIV/0!</v>
      </c>
      <c r="B47" s="26"/>
      <c r="C47" s="26"/>
      <c r="D47" s="8"/>
      <c r="E47" s="25"/>
      <c r="F47" s="25"/>
      <c r="G47" s="25"/>
      <c r="H47" s="25"/>
      <c r="I47" s="25"/>
      <c r="J47" s="25"/>
      <c r="K47" s="25"/>
      <c r="L47" s="25"/>
    </row>
    <row r="48" spans="1:12" x14ac:dyDescent="0.25">
      <c r="A48" s="48" t="e">
        <f>IF(AND(Financieringsplan!G87&gt;0,Financieringsplan!$G$74&lt;20%),"Voeg contract, offerte of intentieverklaring toe van financier "&amp;Financieringsplan!B87&amp;"","")</f>
        <v>#DIV/0!</v>
      </c>
      <c r="B48" s="26"/>
      <c r="C48" s="26"/>
      <c r="D48" s="8"/>
      <c r="E48" s="25"/>
      <c r="F48" s="25"/>
      <c r="G48" s="25"/>
      <c r="H48" s="25"/>
      <c r="I48" s="25"/>
      <c r="J48" s="25"/>
      <c r="K48" s="25"/>
      <c r="L48" s="25"/>
    </row>
    <row r="49" spans="1:12" x14ac:dyDescent="0.25">
      <c r="A49" s="49" t="e">
        <f>IF(AND(Financieringsplan!G88&gt;0,Financieringsplan!$G$74&lt;20%),"Voeg contract, offerte of intentieverklaring toe van financier "&amp;Financieringsplan!B88&amp;"","")</f>
        <v>#DIV/0!</v>
      </c>
      <c r="B49" s="26"/>
      <c r="C49" s="26"/>
      <c r="D49" s="8"/>
      <c r="E49" s="25"/>
      <c r="F49" s="25"/>
      <c r="G49" s="25"/>
      <c r="H49" s="25"/>
      <c r="I49" s="25"/>
      <c r="J49" s="25"/>
      <c r="K49" s="25"/>
      <c r="L49" s="25"/>
    </row>
    <row r="50" spans="1:12" x14ac:dyDescent="0.25">
      <c r="A50" s="7"/>
      <c r="B50" s="26"/>
      <c r="C50" s="26"/>
      <c r="D50" s="8"/>
      <c r="E50" s="25"/>
      <c r="F50" s="25"/>
      <c r="G50" s="25"/>
      <c r="H50" s="25"/>
      <c r="I50" s="25"/>
      <c r="J50" s="25"/>
      <c r="K50" s="25"/>
      <c r="L50" s="25"/>
    </row>
    <row r="51" spans="1:12" x14ac:dyDescent="0.25">
      <c r="D51" s="8"/>
      <c r="E51" s="25"/>
      <c r="F51" s="25"/>
      <c r="G51" s="25"/>
      <c r="H51" s="25"/>
      <c r="I51" s="25"/>
      <c r="J51" s="25"/>
      <c r="K51" s="25"/>
      <c r="L51" s="25"/>
    </row>
    <row r="52" spans="1:12" ht="18" x14ac:dyDescent="0.25">
      <c r="A52" s="21" t="s">
        <v>97</v>
      </c>
      <c r="E52" s="25"/>
      <c r="F52" s="25"/>
      <c r="G52" s="25"/>
      <c r="H52" s="25"/>
      <c r="I52" s="25"/>
      <c r="J52" s="25"/>
      <c r="K52" s="25"/>
      <c r="L52" s="25"/>
    </row>
    <row r="53" spans="1:12" ht="30" customHeight="1" x14ac:dyDescent="0.25">
      <c r="A53" s="107" t="s">
        <v>386</v>
      </c>
      <c r="B53" s="106"/>
      <c r="C53" s="26"/>
      <c r="E53" s="25"/>
      <c r="F53" s="25"/>
      <c r="G53" s="25"/>
      <c r="H53" s="25"/>
      <c r="I53" s="25"/>
      <c r="J53" s="25"/>
      <c r="K53" s="25"/>
      <c r="L53" s="25"/>
    </row>
    <row r="54" spans="1:12" ht="12.75" customHeight="1" x14ac:dyDescent="0.25">
      <c r="A54" s="23"/>
      <c r="E54" s="27"/>
      <c r="F54" s="27"/>
      <c r="G54" s="27"/>
      <c r="H54" s="27"/>
      <c r="I54" s="27"/>
      <c r="J54" s="27"/>
      <c r="K54" s="27"/>
      <c r="L54" s="27"/>
    </row>
    <row r="55" spans="1:12" ht="12.75" customHeight="1" x14ac:dyDescent="0.25">
      <c r="A55" s="21"/>
      <c r="E55" s="25"/>
      <c r="F55" s="25"/>
      <c r="G55" s="25"/>
      <c r="H55" s="25"/>
      <c r="I55" s="25"/>
      <c r="J55" s="25"/>
      <c r="K55" s="25"/>
      <c r="L55" s="25"/>
    </row>
    <row r="56" spans="1:12" ht="18" x14ac:dyDescent="0.25">
      <c r="A56" s="21" t="s">
        <v>98</v>
      </c>
      <c r="B56" s="108"/>
      <c r="E56" s="25"/>
      <c r="F56" s="25"/>
      <c r="G56" s="25"/>
      <c r="H56" s="25"/>
      <c r="I56" s="25"/>
      <c r="J56" s="25"/>
      <c r="K56" s="25"/>
      <c r="L56" s="25"/>
    </row>
    <row r="57" spans="1:12" x14ac:dyDescent="0.25">
      <c r="E57" s="7"/>
      <c r="F57" s="25"/>
      <c r="G57" s="25"/>
      <c r="H57" s="25"/>
      <c r="I57" s="25"/>
      <c r="J57" s="25"/>
      <c r="K57" s="25"/>
      <c r="L57" s="25"/>
    </row>
    <row r="58" spans="1:12" ht="12.75" customHeight="1" x14ac:dyDescent="0.25">
      <c r="A58" s="23" t="s">
        <v>99</v>
      </c>
      <c r="B58" s="4"/>
      <c r="F58" s="25"/>
      <c r="G58" s="25"/>
      <c r="H58" s="25"/>
      <c r="I58" s="25"/>
      <c r="J58" s="25"/>
      <c r="K58" s="25"/>
      <c r="L58" s="25"/>
    </row>
    <row r="59" spans="1:12" ht="12.75" customHeight="1" x14ac:dyDescent="0.25">
      <c r="A59" s="47" t="str">
        <f>Financieringsplan!H30</f>
        <v/>
      </c>
      <c r="B59" s="4"/>
      <c r="F59" s="25"/>
      <c r="G59" s="25"/>
      <c r="H59" s="25"/>
      <c r="I59" s="25"/>
      <c r="J59" s="25"/>
      <c r="K59" s="25"/>
      <c r="L59" s="25"/>
    </row>
    <row r="60" spans="1:12" ht="12.75" customHeight="1" x14ac:dyDescent="0.25">
      <c r="A60" s="48" t="str">
        <f>Financieringsplan!H31</f>
        <v/>
      </c>
      <c r="B60" s="4"/>
      <c r="F60" s="25"/>
      <c r="G60" s="25"/>
      <c r="H60" s="25"/>
      <c r="I60" s="25"/>
      <c r="J60" s="25"/>
      <c r="K60" s="25"/>
      <c r="L60" s="25"/>
    </row>
    <row r="61" spans="1:12" ht="12.75" customHeight="1" x14ac:dyDescent="0.25">
      <c r="A61" s="48" t="str">
        <f>Financieringsplan!H32</f>
        <v/>
      </c>
      <c r="B61" s="4"/>
      <c r="F61" s="25"/>
      <c r="G61" s="25"/>
      <c r="H61" s="25"/>
      <c r="I61" s="25"/>
      <c r="J61" s="25"/>
      <c r="K61" s="25"/>
      <c r="L61" s="25"/>
    </row>
    <row r="62" spans="1:12" ht="12.75" customHeight="1" x14ac:dyDescent="0.25">
      <c r="A62" s="48" t="str">
        <f>Financieringsplan!H33</f>
        <v/>
      </c>
      <c r="B62" s="4"/>
      <c r="F62" s="34"/>
      <c r="G62" s="34"/>
      <c r="H62" s="34"/>
      <c r="I62" s="34"/>
      <c r="J62" s="34"/>
      <c r="K62" s="34"/>
      <c r="L62" s="34"/>
    </row>
    <row r="63" spans="1:12" ht="12.75" customHeight="1" x14ac:dyDescent="0.25">
      <c r="A63" s="48" t="str">
        <f>Financieringsplan!H34</f>
        <v/>
      </c>
      <c r="B63" s="4"/>
      <c r="F63" s="27"/>
      <c r="G63" s="27"/>
      <c r="H63" s="27"/>
      <c r="I63" s="27"/>
      <c r="J63" s="27"/>
      <c r="K63" s="27"/>
      <c r="L63" s="27"/>
    </row>
    <row r="64" spans="1:12" ht="12.75" customHeight="1" x14ac:dyDescent="0.25">
      <c r="A64" s="48" t="str">
        <f>Financieringsplan!H35</f>
        <v/>
      </c>
      <c r="B64" s="4"/>
      <c r="F64" s="27"/>
      <c r="G64" s="27"/>
      <c r="H64" s="27"/>
      <c r="I64" s="27"/>
      <c r="J64" s="27"/>
      <c r="K64" s="27"/>
      <c r="L64" s="27"/>
    </row>
    <row r="65" spans="1:12" ht="12.75" customHeight="1" x14ac:dyDescent="0.25">
      <c r="A65" s="48" t="str">
        <f>Financieringsplan!H36</f>
        <v/>
      </c>
      <c r="B65" s="4"/>
      <c r="F65" s="27"/>
      <c r="G65" s="27"/>
      <c r="H65" s="27"/>
      <c r="I65" s="27"/>
      <c r="J65" s="27"/>
      <c r="K65" s="27"/>
      <c r="L65" s="27"/>
    </row>
    <row r="66" spans="1:12" x14ac:dyDescent="0.25">
      <c r="A66" s="49" t="str">
        <f>Financieringsplan!H37</f>
        <v/>
      </c>
      <c r="B66" s="4"/>
      <c r="F66" s="25"/>
      <c r="G66" s="25"/>
      <c r="H66" s="25"/>
      <c r="I66" s="25"/>
      <c r="J66" s="25"/>
      <c r="K66" s="25"/>
      <c r="L66" s="25"/>
    </row>
    <row r="67" spans="1:12" x14ac:dyDescent="0.25">
      <c r="B67" s="26"/>
      <c r="F67" s="27"/>
      <c r="G67" s="27"/>
      <c r="H67" s="27"/>
      <c r="I67" s="27"/>
      <c r="J67" s="27"/>
      <c r="K67" s="27"/>
      <c r="L67" s="27"/>
    </row>
    <row r="68" spans="1:12" x14ac:dyDescent="0.25">
      <c r="A68" s="23" t="s">
        <v>100</v>
      </c>
      <c r="B68" s="4"/>
      <c r="D68" s="25"/>
      <c r="F68" s="8"/>
      <c r="G68" s="8"/>
      <c r="H68" s="8"/>
      <c r="I68" s="8"/>
      <c r="J68" s="8"/>
      <c r="K68" s="8"/>
      <c r="L68" s="8"/>
    </row>
    <row r="69" spans="1:12" s="23" customFormat="1" ht="12.75" x14ac:dyDescent="0.2">
      <c r="A69" s="46" t="str">
        <f>Financieringsplan!H38</f>
        <v/>
      </c>
      <c r="D69" s="28"/>
      <c r="E69" s="27"/>
      <c r="F69" s="27"/>
      <c r="G69" s="27"/>
      <c r="H69" s="27"/>
      <c r="I69" s="27"/>
      <c r="J69" s="27"/>
      <c r="K69" s="27"/>
      <c r="L69" s="27"/>
    </row>
    <row r="70" spans="1:12" x14ac:dyDescent="0.25">
      <c r="E70" s="8"/>
      <c r="F70" s="8"/>
      <c r="G70" s="8"/>
      <c r="H70" s="8"/>
      <c r="I70" s="8"/>
      <c r="J70" s="8"/>
      <c r="K70" s="8"/>
      <c r="L70" s="8"/>
    </row>
    <row r="71" spans="1:12" x14ac:dyDescent="0.25">
      <c r="A71" s="23" t="s">
        <v>96</v>
      </c>
      <c r="E71" s="25"/>
      <c r="F71" s="25"/>
      <c r="G71" s="25"/>
      <c r="H71" s="25"/>
      <c r="I71" s="25"/>
      <c r="J71" s="25"/>
      <c r="K71" s="25"/>
      <c r="L71" s="25"/>
    </row>
    <row r="72" spans="1:12" x14ac:dyDescent="0.25">
      <c r="A72" s="54" t="e">
        <f>IF(AND(Financieringsplan!G79&gt;0,Financieringsplan!$G$74&gt;=20%),"Voeg eventueel contract, offerte of intentieverklaring toe van "&amp;Financieringsplan!B79&amp;"","")</f>
        <v>#DIV/0!</v>
      </c>
      <c r="E72" s="25"/>
      <c r="F72" s="25"/>
      <c r="G72" s="25"/>
      <c r="H72" s="25"/>
      <c r="I72" s="25"/>
      <c r="J72" s="25"/>
      <c r="K72" s="25"/>
      <c r="L72" s="25"/>
    </row>
    <row r="73" spans="1:12" x14ac:dyDescent="0.25">
      <c r="A73" s="53" t="e">
        <f>IF(AND(Financieringsplan!G80&gt;0,Financieringsplan!$G$74&gt;=20%),"Voeg eventueel contract, offerte of intentieverklaring toe van "&amp;Financieringsplan!B80&amp;"","")</f>
        <v>#DIV/0!</v>
      </c>
      <c r="B73" s="10"/>
      <c r="C73" s="10"/>
      <c r="D73" s="8"/>
      <c r="E73" s="8"/>
      <c r="F73" s="8"/>
      <c r="G73" s="8"/>
      <c r="H73" s="8"/>
      <c r="I73" s="8"/>
      <c r="J73" s="8"/>
      <c r="K73" s="8"/>
      <c r="L73" s="8"/>
    </row>
    <row r="74" spans="1:12" x14ac:dyDescent="0.25">
      <c r="A74" s="53" t="e">
        <f>IF(AND(Financieringsplan!G81&gt;0,Financieringsplan!$G$74&gt;=20%),"Voeg eventueel contract, offerte of intentieverklaring toe van "&amp;Financieringsplan!B81&amp;"","")</f>
        <v>#DIV/0!</v>
      </c>
      <c r="B74" s="25"/>
      <c r="C74" s="25"/>
      <c r="D74" s="8"/>
      <c r="E74" s="8"/>
      <c r="F74" s="8"/>
      <c r="G74" s="8"/>
      <c r="H74" s="8"/>
      <c r="I74" s="8"/>
      <c r="J74" s="8"/>
      <c r="K74" s="8"/>
      <c r="L74" s="8"/>
    </row>
    <row r="75" spans="1:12" x14ac:dyDescent="0.25">
      <c r="A75" s="53" t="e">
        <f>IF(AND(Financieringsplan!G82&gt;0,Financieringsplan!$G$74&gt;=20%),"Voeg eventueel contract, offerte of intentieverklaring toe van "&amp;Financieringsplan!B82&amp;"","")</f>
        <v>#DIV/0!</v>
      </c>
      <c r="B75" s="25"/>
      <c r="C75" s="25"/>
      <c r="D75" s="8"/>
      <c r="E75" s="8"/>
      <c r="F75" s="8"/>
      <c r="G75" s="8"/>
      <c r="H75" s="8"/>
      <c r="I75" s="8"/>
      <c r="J75" s="8"/>
      <c r="K75" s="8"/>
      <c r="L75" s="8"/>
    </row>
    <row r="76" spans="1:12" x14ac:dyDescent="0.25">
      <c r="A76" s="55" t="e">
        <f>IF(AND(Financieringsplan!G83&gt;0,Financieringsplan!$G$74&gt;=20%),"Voeg eventueel contract, offerte of intentieverklaring toe van "&amp;Financieringsplan!B83&amp;"","")</f>
        <v>#DIV/0!</v>
      </c>
      <c r="B76" s="25"/>
      <c r="C76" s="25"/>
      <c r="D76" s="8"/>
      <c r="E76" s="8"/>
      <c r="F76" s="8"/>
      <c r="G76" s="8"/>
      <c r="H76" s="8"/>
      <c r="I76" s="8"/>
      <c r="J76" s="8"/>
      <c r="K76" s="8"/>
      <c r="L76" s="8"/>
    </row>
    <row r="77" spans="1:12" x14ac:dyDescent="0.25">
      <c r="A77" s="56" t="e">
        <f>IF(AND(Financieringsplan!G84&gt;0,Financieringsplan!$G$74&gt;=20%),"Voeg eventueel contract, offerte of intentieverklaring toe van "&amp;Financieringsplan!B84&amp;"","")</f>
        <v>#DIV/0!</v>
      </c>
      <c r="B77" s="10"/>
      <c r="C77" s="10"/>
      <c r="D77" s="8"/>
      <c r="E77" s="8"/>
      <c r="F77" s="8"/>
      <c r="G77" s="8"/>
      <c r="H77" s="8"/>
      <c r="I77" s="8"/>
      <c r="J77" s="8"/>
      <c r="K77" s="8"/>
      <c r="L77" s="8"/>
    </row>
    <row r="78" spans="1:12" x14ac:dyDescent="0.25">
      <c r="A78" s="56" t="e">
        <f>IF(AND(Financieringsplan!G85&gt;0,Financieringsplan!$G$74&gt;=20%),"Voeg eventueel contract, offerte of intentieverklaring toe van "&amp;Financieringsplan!B85&amp;"","")</f>
        <v>#DIV/0!</v>
      </c>
      <c r="B78" s="25"/>
      <c r="C78" s="25"/>
      <c r="D78" s="8"/>
      <c r="E78" s="8"/>
      <c r="F78" s="8"/>
      <c r="G78" s="8"/>
      <c r="H78" s="8"/>
      <c r="I78" s="8"/>
      <c r="J78" s="8"/>
      <c r="K78" s="8"/>
      <c r="L78" s="8"/>
    </row>
    <row r="79" spans="1:12" x14ac:dyDescent="0.25">
      <c r="A79" s="53" t="e">
        <f>IF(AND(Financieringsplan!G86&gt;0,Financieringsplan!$G$74&gt;=20%),"Voeg eventueel contract, offerte of intentieverklaring toe van "&amp;Financieringsplan!B86&amp;"","")</f>
        <v>#DIV/0!</v>
      </c>
      <c r="B79" s="25"/>
      <c r="C79" s="25"/>
      <c r="D79" s="8"/>
      <c r="E79" s="8"/>
      <c r="F79" s="8"/>
      <c r="G79" s="8"/>
      <c r="H79" s="8"/>
      <c r="I79" s="8"/>
      <c r="J79" s="8"/>
      <c r="K79" s="8"/>
      <c r="L79" s="8"/>
    </row>
    <row r="80" spans="1:12" x14ac:dyDescent="0.25">
      <c r="A80" s="56" t="e">
        <f>IF(AND(Financieringsplan!G87&gt;0,Financieringsplan!$G$74&gt;=20%),"Voeg eventueel contract, offerte of intentieverklaring toe van "&amp;Financieringsplan!B87&amp;"","")</f>
        <v>#DIV/0!</v>
      </c>
      <c r="B80" s="25"/>
      <c r="C80" s="25"/>
      <c r="D80" s="8"/>
      <c r="E80" s="8"/>
      <c r="F80" s="8"/>
      <c r="G80" s="8"/>
      <c r="H80" s="8"/>
      <c r="I80" s="8"/>
      <c r="J80" s="8"/>
      <c r="K80" s="8"/>
      <c r="L80" s="8"/>
    </row>
    <row r="81" spans="1:12" x14ac:dyDescent="0.25">
      <c r="A81" s="57" t="e">
        <f>IF(AND(Financieringsplan!G88&gt;0,Financieringsplan!$G$74&gt;=20%),"Voeg eventueel contract, offerte of intentieverklaring toe van "&amp;Financieringsplan!B88&amp;"","")</f>
        <v>#DIV/0!</v>
      </c>
      <c r="B81" s="25"/>
      <c r="C81" s="25"/>
      <c r="D81" s="8"/>
      <c r="E81" s="8"/>
      <c r="F81" s="8"/>
      <c r="G81" s="8"/>
      <c r="H81" s="8"/>
      <c r="I81" s="8"/>
      <c r="J81" s="8"/>
      <c r="K81" s="8"/>
      <c r="L81" s="8"/>
    </row>
    <row r="82" spans="1:12" x14ac:dyDescent="0.25">
      <c r="B82" s="25"/>
      <c r="C82" s="25"/>
      <c r="D82" s="8"/>
      <c r="E82" s="8"/>
      <c r="F82" s="8"/>
      <c r="G82" s="8"/>
      <c r="H82" s="8"/>
      <c r="I82" s="8"/>
      <c r="J82" s="8"/>
      <c r="K82" s="8"/>
      <c r="L82" s="8"/>
    </row>
    <row r="83" spans="1:12" s="23" customFormat="1" ht="12.75" x14ac:dyDescent="0.2">
      <c r="B83" s="28"/>
      <c r="C83" s="28"/>
      <c r="D83" s="27"/>
      <c r="E83" s="27"/>
      <c r="F83" s="27"/>
      <c r="G83" s="27"/>
      <c r="H83" s="27"/>
      <c r="I83" s="27"/>
      <c r="J83" s="27"/>
      <c r="K83" s="27"/>
      <c r="L83" s="27"/>
    </row>
    <row r="84" spans="1:12" s="23" customFormat="1" ht="12.75" x14ac:dyDescent="0.2">
      <c r="B84" s="28"/>
      <c r="C84" s="28"/>
      <c r="D84" s="28"/>
      <c r="E84" s="28"/>
      <c r="F84" s="28"/>
      <c r="G84" s="28"/>
      <c r="H84" s="28"/>
      <c r="I84" s="28"/>
      <c r="J84" s="28"/>
      <c r="K84" s="28"/>
      <c r="L84" s="28"/>
    </row>
    <row r="85" spans="1:12" s="23" customFormat="1" ht="12.75" x14ac:dyDescent="0.2">
      <c r="A85" s="7"/>
      <c r="B85" s="10"/>
      <c r="C85" s="10"/>
    </row>
    <row r="86" spans="1:12" s="23" customFormat="1" ht="12.75" x14ac:dyDescent="0.2">
      <c r="B86" s="9"/>
      <c r="C86" s="9"/>
      <c r="D86" s="27"/>
      <c r="E86" s="31"/>
      <c r="F86" s="31"/>
      <c r="G86" s="31"/>
      <c r="H86" s="31"/>
      <c r="I86" s="31"/>
      <c r="J86" s="31"/>
      <c r="K86" s="31"/>
      <c r="L86" s="31"/>
    </row>
    <row r="87" spans="1:12" s="23" customFormat="1" x14ac:dyDescent="0.25">
      <c r="B87" s="9"/>
      <c r="C87" s="9"/>
      <c r="D87" s="27"/>
      <c r="E87" s="8"/>
      <c r="F87" s="31"/>
      <c r="G87" s="31"/>
      <c r="H87" s="31"/>
      <c r="I87" s="31"/>
      <c r="J87" s="31"/>
      <c r="K87" s="31"/>
      <c r="L87" s="31"/>
    </row>
    <row r="88" spans="1:12" s="23" customFormat="1" x14ac:dyDescent="0.25">
      <c r="B88" s="9"/>
      <c r="C88" s="9"/>
      <c r="D88" s="27"/>
      <c r="E88" s="8"/>
      <c r="F88" s="31"/>
      <c r="G88" s="31"/>
      <c r="H88" s="31"/>
      <c r="I88" s="31"/>
      <c r="J88" s="31"/>
      <c r="K88" s="31"/>
      <c r="L88" s="31"/>
    </row>
    <row r="89" spans="1:12" s="23" customFormat="1" x14ac:dyDescent="0.25">
      <c r="B89" s="9"/>
      <c r="C89" s="9"/>
      <c r="D89" s="27"/>
      <c r="E89" s="8"/>
      <c r="F89" s="31"/>
      <c r="G89" s="31"/>
      <c r="H89" s="31"/>
      <c r="I89" s="31"/>
      <c r="J89" s="31"/>
      <c r="K89" s="31"/>
      <c r="L89" s="31"/>
    </row>
    <row r="90" spans="1:12" s="23" customFormat="1" x14ac:dyDescent="0.25">
      <c r="B90" s="9"/>
      <c r="C90" s="9"/>
      <c r="D90" s="27"/>
      <c r="E90" s="8"/>
      <c r="F90" s="31"/>
      <c r="G90" s="31"/>
      <c r="H90" s="31"/>
      <c r="I90" s="31"/>
      <c r="J90" s="31"/>
      <c r="K90" s="31"/>
      <c r="L90" s="31"/>
    </row>
    <row r="91" spans="1:12" s="23" customFormat="1" x14ac:dyDescent="0.25">
      <c r="B91" s="9"/>
      <c r="C91" s="9"/>
      <c r="D91" s="27"/>
      <c r="E91" s="8"/>
      <c r="F91" s="31"/>
      <c r="G91" s="31"/>
      <c r="H91" s="31"/>
      <c r="I91" s="31"/>
      <c r="J91" s="31"/>
      <c r="K91" s="31"/>
      <c r="L91" s="31"/>
    </row>
    <row r="92" spans="1:12" s="23" customFormat="1" x14ac:dyDescent="0.25">
      <c r="B92" s="9"/>
      <c r="C92" s="9"/>
      <c r="D92" s="27"/>
      <c r="E92" s="8"/>
      <c r="F92" s="31"/>
      <c r="G92" s="31"/>
      <c r="H92" s="31"/>
      <c r="I92" s="31"/>
      <c r="J92" s="31"/>
      <c r="K92" s="31"/>
      <c r="L92" s="31"/>
    </row>
    <row r="93" spans="1:12" s="23" customFormat="1" x14ac:dyDescent="0.25">
      <c r="B93" s="9"/>
      <c r="C93" s="9"/>
      <c r="D93" s="27"/>
      <c r="E93" s="8"/>
      <c r="F93" s="31"/>
      <c r="G93" s="31"/>
      <c r="H93" s="31"/>
      <c r="I93" s="31"/>
      <c r="J93" s="31"/>
      <c r="K93" s="31"/>
      <c r="L93" s="31"/>
    </row>
    <row r="94" spans="1:12" s="23" customFormat="1" ht="12.75" x14ac:dyDescent="0.2">
      <c r="B94" s="28"/>
      <c r="C94" s="28"/>
      <c r="D94" s="27"/>
      <c r="E94" s="5"/>
      <c r="F94" s="27"/>
      <c r="G94" s="27"/>
      <c r="H94" s="27"/>
      <c r="I94" s="27"/>
      <c r="J94" s="27"/>
      <c r="K94" s="27"/>
      <c r="L94" s="27"/>
    </row>
    <row r="95" spans="1:12" s="23" customFormat="1" ht="12.75" x14ac:dyDescent="0.2">
      <c r="A95" s="7"/>
      <c r="B95" s="28"/>
      <c r="C95" s="28"/>
      <c r="D95" s="27"/>
      <c r="E95" s="27"/>
      <c r="F95" s="27"/>
      <c r="G95" s="27"/>
      <c r="H95" s="27"/>
      <c r="I95" s="27"/>
      <c r="J95" s="27"/>
      <c r="K95" s="27"/>
      <c r="L95" s="27"/>
    </row>
    <row r="96" spans="1:12" s="23" customFormat="1" ht="12.75" x14ac:dyDescent="0.2">
      <c r="B96" s="28"/>
      <c r="C96" s="28"/>
      <c r="D96" s="27"/>
      <c r="E96" s="27"/>
      <c r="F96" s="27"/>
      <c r="G96" s="27"/>
      <c r="H96" s="27"/>
      <c r="I96" s="27"/>
      <c r="J96" s="27"/>
      <c r="K96" s="27"/>
      <c r="L96" s="27"/>
    </row>
    <row r="97" spans="1:13" s="23" customFormat="1" ht="12.75" x14ac:dyDescent="0.2">
      <c r="B97" s="28"/>
      <c r="C97" s="28"/>
      <c r="D97" s="28"/>
      <c r="E97" s="28"/>
      <c r="F97" s="28"/>
      <c r="G97" s="28"/>
      <c r="H97" s="28"/>
      <c r="I97" s="28"/>
      <c r="J97" s="28"/>
      <c r="K97" s="28"/>
      <c r="L97" s="28"/>
    </row>
    <row r="98" spans="1:13" x14ac:dyDescent="0.25">
      <c r="A98" s="7"/>
      <c r="D98" s="8"/>
      <c r="E98" s="8"/>
      <c r="F98" s="8"/>
      <c r="G98" s="8"/>
      <c r="H98" s="8"/>
      <c r="I98" s="8"/>
      <c r="J98" s="8"/>
      <c r="K98" s="8"/>
      <c r="L98" s="8"/>
      <c r="M98" s="25"/>
    </row>
    <row r="99" spans="1:13" hidden="1" x14ac:dyDescent="0.25">
      <c r="A99" s="7"/>
      <c r="D99" s="8"/>
      <c r="E99" s="8"/>
      <c r="F99" s="8"/>
      <c r="G99" s="8"/>
      <c r="H99" s="8"/>
      <c r="I99" s="8"/>
      <c r="J99" s="8"/>
      <c r="K99" s="8"/>
      <c r="L99" s="8"/>
    </row>
    <row r="100" spans="1:13" hidden="1" x14ac:dyDescent="0.25">
      <c r="A100" s="7"/>
      <c r="D100" s="8"/>
      <c r="E100" s="8"/>
      <c r="F100" s="8"/>
      <c r="G100" s="8"/>
      <c r="H100" s="8"/>
      <c r="I100" s="8"/>
      <c r="J100" s="8"/>
      <c r="K100" s="8"/>
      <c r="L100" s="8"/>
      <c r="M100" s="8"/>
    </row>
    <row r="101" spans="1:13" hidden="1" x14ac:dyDescent="0.25">
      <c r="A101" s="7"/>
      <c r="D101" s="8"/>
      <c r="E101" s="8"/>
      <c r="F101" s="8"/>
      <c r="G101" s="8"/>
      <c r="H101" s="8"/>
      <c r="I101" s="8"/>
      <c r="J101" s="8"/>
      <c r="K101" s="8"/>
      <c r="L101" s="8"/>
      <c r="M101" s="8"/>
    </row>
    <row r="102" spans="1:13" hidden="1" x14ac:dyDescent="0.25">
      <c r="A102" s="7"/>
      <c r="D102" s="8"/>
      <c r="E102" s="8"/>
      <c r="F102" s="8"/>
      <c r="G102" s="8"/>
      <c r="H102" s="8"/>
      <c r="I102" s="8"/>
      <c r="J102" s="8"/>
      <c r="K102" s="8"/>
      <c r="L102" s="8"/>
      <c r="M102" s="8"/>
    </row>
    <row r="103" spans="1:13" hidden="1" x14ac:dyDescent="0.25">
      <c r="A103" s="7"/>
      <c r="D103" s="8"/>
      <c r="E103" s="8"/>
      <c r="F103" s="8"/>
      <c r="G103" s="8"/>
      <c r="H103" s="8"/>
      <c r="I103" s="8"/>
      <c r="J103" s="8"/>
      <c r="K103" s="8"/>
      <c r="L103" s="8"/>
      <c r="M103" s="8"/>
    </row>
    <row r="104" spans="1:13" x14ac:dyDescent="0.25">
      <c r="A104" s="7"/>
      <c r="B104" s="33"/>
      <c r="C104" s="33"/>
      <c r="D104" s="8"/>
      <c r="E104" s="8"/>
      <c r="F104" s="8"/>
      <c r="G104" s="8"/>
      <c r="H104" s="8"/>
      <c r="I104" s="8"/>
      <c r="J104" s="8"/>
      <c r="K104" s="8"/>
      <c r="L104" s="8"/>
      <c r="M104" s="8"/>
    </row>
    <row r="105" spans="1:13" x14ac:dyDescent="0.25">
      <c r="A105" s="7"/>
      <c r="B105" s="36"/>
      <c r="C105" s="36"/>
      <c r="D105" s="8"/>
      <c r="E105" s="8"/>
      <c r="F105" s="8"/>
      <c r="G105" s="8"/>
      <c r="H105" s="8"/>
      <c r="I105" s="8"/>
      <c r="J105" s="8"/>
      <c r="K105" s="8"/>
      <c r="L105" s="8"/>
      <c r="M105" s="8"/>
    </row>
    <row r="106" spans="1:13" x14ac:dyDescent="0.25">
      <c r="A106" s="7"/>
      <c r="D106" s="8"/>
      <c r="E106" s="8"/>
      <c r="F106" s="8"/>
      <c r="G106" s="8"/>
      <c r="H106" s="8"/>
      <c r="I106" s="8"/>
      <c r="J106" s="8"/>
      <c r="K106" s="8"/>
      <c r="L106" s="8"/>
      <c r="M106" s="8"/>
    </row>
    <row r="107" spans="1:13" s="23" customFormat="1" ht="12.75" x14ac:dyDescent="0.2">
      <c r="A107" s="35"/>
      <c r="D107" s="27"/>
      <c r="E107" s="27"/>
      <c r="F107" s="27"/>
      <c r="G107" s="27"/>
      <c r="H107" s="27"/>
      <c r="I107" s="27"/>
      <c r="J107" s="27"/>
      <c r="K107" s="27"/>
      <c r="L107" s="27"/>
    </row>
    <row r="108" spans="1:13" s="23" customFormat="1" ht="12.75" x14ac:dyDescent="0.2">
      <c r="D108" s="27"/>
      <c r="E108" s="27"/>
      <c r="F108" s="27"/>
      <c r="G108" s="27"/>
      <c r="H108" s="27"/>
      <c r="I108" s="27"/>
      <c r="J108" s="27"/>
      <c r="K108" s="27"/>
      <c r="L108" s="27"/>
    </row>
    <row r="109" spans="1:13" s="23" customFormat="1" ht="12.75" x14ac:dyDescent="0.2">
      <c r="D109" s="27"/>
      <c r="E109" s="27"/>
      <c r="F109" s="27"/>
      <c r="G109" s="27"/>
      <c r="H109" s="27"/>
      <c r="I109" s="27"/>
      <c r="J109" s="27"/>
      <c r="K109" s="27"/>
      <c r="L109" s="27"/>
    </row>
    <row r="110" spans="1:13" s="23" customFormat="1" ht="12.75" x14ac:dyDescent="0.2">
      <c r="D110" s="27"/>
      <c r="E110" s="27"/>
      <c r="F110" s="27"/>
      <c r="G110" s="27"/>
      <c r="H110" s="27"/>
      <c r="I110" s="27"/>
      <c r="J110" s="27"/>
      <c r="K110" s="27"/>
      <c r="L110" s="27"/>
    </row>
    <row r="111" spans="1:13" x14ac:dyDescent="0.25">
      <c r="A111" s="7"/>
      <c r="D111" s="8"/>
      <c r="E111" s="8"/>
      <c r="F111" s="8"/>
      <c r="G111" s="8"/>
      <c r="H111" s="8"/>
      <c r="I111" s="8"/>
      <c r="J111" s="8"/>
      <c r="K111" s="8"/>
      <c r="L111" s="8"/>
    </row>
    <row r="112" spans="1:13" x14ac:dyDescent="0.25">
      <c r="A112" s="7"/>
      <c r="D112" s="8"/>
      <c r="E112" s="8"/>
      <c r="F112" s="8"/>
      <c r="G112" s="8"/>
      <c r="H112" s="8"/>
      <c r="I112" s="8"/>
      <c r="J112" s="8"/>
      <c r="K112" s="8"/>
      <c r="L112" s="8"/>
    </row>
    <row r="113" spans="1:16" x14ac:dyDescent="0.25">
      <c r="A113" s="7"/>
      <c r="D113" s="8"/>
      <c r="E113" s="8"/>
      <c r="F113" s="8"/>
      <c r="G113" s="8"/>
      <c r="H113" s="8"/>
      <c r="I113" s="8"/>
      <c r="J113" s="8"/>
      <c r="K113" s="8"/>
      <c r="L113" s="8"/>
    </row>
    <row r="114" spans="1:16" s="23" customFormat="1" ht="12.75" x14ac:dyDescent="0.2">
      <c r="D114" s="27"/>
      <c r="E114" s="27"/>
      <c r="F114" s="27"/>
      <c r="G114" s="27"/>
      <c r="H114" s="27"/>
      <c r="I114" s="27"/>
      <c r="J114" s="27"/>
      <c r="K114" s="27"/>
      <c r="L114" s="27"/>
    </row>
    <row r="115" spans="1:16" x14ac:dyDescent="0.25">
      <c r="D115" s="8"/>
      <c r="E115" s="8"/>
      <c r="F115" s="8"/>
      <c r="G115" s="8"/>
      <c r="H115" s="8"/>
      <c r="I115" s="8"/>
      <c r="J115" s="8"/>
      <c r="K115" s="8"/>
      <c r="L115" s="8"/>
    </row>
    <row r="116" spans="1:16" x14ac:dyDescent="0.25">
      <c r="A116" s="7"/>
      <c r="D116" s="8"/>
      <c r="E116" s="8"/>
      <c r="F116" s="8"/>
      <c r="G116" s="8"/>
      <c r="H116" s="8"/>
      <c r="I116" s="8"/>
      <c r="J116" s="8"/>
      <c r="K116" s="8"/>
      <c r="L116" s="8"/>
    </row>
    <row r="117" spans="1:16" x14ac:dyDescent="0.25">
      <c r="D117" s="8"/>
      <c r="E117" s="8"/>
      <c r="F117" s="8"/>
      <c r="G117" s="8"/>
      <c r="H117" s="8"/>
      <c r="I117" s="8"/>
      <c r="J117" s="8"/>
      <c r="K117" s="8"/>
      <c r="L117" s="8"/>
    </row>
    <row r="118" spans="1:16" x14ac:dyDescent="0.25">
      <c r="D118" s="8"/>
      <c r="E118" s="8"/>
      <c r="F118" s="8"/>
      <c r="G118" s="8"/>
      <c r="H118" s="8"/>
      <c r="I118" s="8"/>
      <c r="J118" s="8"/>
      <c r="K118" s="8"/>
      <c r="L118" s="8"/>
    </row>
    <row r="119" spans="1:16" s="23" customFormat="1" ht="12.75" x14ac:dyDescent="0.2">
      <c r="D119" s="27"/>
      <c r="E119" s="27"/>
      <c r="F119" s="27"/>
      <c r="G119" s="27"/>
      <c r="H119" s="27"/>
      <c r="I119" s="27"/>
      <c r="J119" s="27"/>
      <c r="K119" s="27"/>
      <c r="L119" s="27"/>
    </row>
    <row r="120" spans="1:16" s="23" customFormat="1" ht="12.75" x14ac:dyDescent="0.2">
      <c r="D120" s="27"/>
      <c r="E120" s="27"/>
      <c r="F120" s="27"/>
      <c r="G120" s="27"/>
      <c r="H120" s="27"/>
      <c r="I120" s="27"/>
      <c r="J120" s="27"/>
      <c r="K120" s="27"/>
      <c r="L120" s="27"/>
    </row>
    <row r="121" spans="1:16" s="23" customFormat="1" ht="12.75" x14ac:dyDescent="0.2">
      <c r="D121" s="27"/>
      <c r="E121" s="27"/>
      <c r="F121" s="27"/>
      <c r="G121" s="27"/>
      <c r="H121" s="27"/>
      <c r="I121" s="27"/>
      <c r="J121" s="27"/>
      <c r="K121" s="27"/>
      <c r="L121" s="27"/>
      <c r="M121" s="28"/>
      <c r="N121" s="28"/>
      <c r="O121" s="28"/>
      <c r="P121" s="28"/>
    </row>
    <row r="122" spans="1:16" x14ac:dyDescent="0.25">
      <c r="D122" s="8"/>
      <c r="E122" s="8"/>
      <c r="F122" s="8"/>
      <c r="G122" s="8"/>
      <c r="H122" s="8"/>
      <c r="I122" s="8"/>
      <c r="J122" s="8"/>
      <c r="K122" s="8"/>
      <c r="L122" s="8"/>
    </row>
    <row r="123" spans="1:16" ht="24.95" customHeight="1" x14ac:dyDescent="0.25">
      <c r="A123" s="37"/>
      <c r="B123" s="38"/>
      <c r="C123" s="38"/>
      <c r="D123" s="39"/>
      <c r="E123" s="40"/>
      <c r="F123" s="40"/>
      <c r="G123" s="40"/>
      <c r="H123" s="40"/>
      <c r="I123" s="40"/>
      <c r="J123" s="40"/>
      <c r="K123" s="40"/>
      <c r="L123" s="40"/>
    </row>
    <row r="126" spans="1:16" x14ac:dyDescent="0.25">
      <c r="A126" s="23"/>
      <c r="D126" s="27"/>
      <c r="E126" s="27"/>
      <c r="F126" s="27"/>
      <c r="G126" s="27"/>
      <c r="H126" s="27"/>
      <c r="I126" s="27"/>
      <c r="J126" s="27"/>
      <c r="K126" s="27"/>
      <c r="L126" s="27"/>
    </row>
    <row r="128" spans="1:16" ht="24.75" customHeight="1" x14ac:dyDescent="0.25">
      <c r="A128" s="37"/>
      <c r="B128" s="37"/>
      <c r="C128" s="37"/>
      <c r="E128" s="41"/>
    </row>
    <row r="131" spans="1:12" x14ac:dyDescent="0.25">
      <c r="A131" s="23"/>
      <c r="E131" s="42"/>
      <c r="F131" s="42"/>
      <c r="G131" s="42"/>
      <c r="H131" s="42"/>
      <c r="I131" s="42"/>
      <c r="J131" s="42"/>
      <c r="K131" s="42"/>
      <c r="L131" s="42"/>
    </row>
    <row r="133" spans="1:12" ht="24.75" customHeight="1" x14ac:dyDescent="0.25">
      <c r="A133" s="37"/>
    </row>
    <row r="136" spans="1:12" x14ac:dyDescent="0.25">
      <c r="A136" s="23"/>
    </row>
    <row r="137" spans="1:12" x14ac:dyDescent="0.25">
      <c r="A137" s="514"/>
      <c r="B137" s="514"/>
      <c r="C137" s="7"/>
    </row>
    <row r="138" spans="1:12" x14ac:dyDescent="0.25">
      <c r="A138" s="467"/>
      <c r="B138" s="467"/>
      <c r="C138" s="4"/>
    </row>
    <row r="139" spans="1:12" x14ac:dyDescent="0.25">
      <c r="A139" s="467"/>
      <c r="B139" s="467"/>
      <c r="C139" s="4"/>
    </row>
    <row r="140" spans="1:12" x14ac:dyDescent="0.25">
      <c r="A140" s="467"/>
      <c r="B140" s="467"/>
      <c r="C140" s="4"/>
    </row>
    <row r="141" spans="1:12" x14ac:dyDescent="0.25">
      <c r="A141" s="467"/>
      <c r="B141" s="467"/>
      <c r="C141" s="4"/>
    </row>
    <row r="142" spans="1:12" x14ac:dyDescent="0.25">
      <c r="A142" s="467"/>
      <c r="B142" s="467"/>
      <c r="C142" s="4"/>
    </row>
    <row r="143" spans="1:12" x14ac:dyDescent="0.25">
      <c r="A143" s="467"/>
      <c r="B143" s="467"/>
      <c r="C143" s="4"/>
    </row>
  </sheetData>
  <sheetProtection algorithmName="SHA-512" hashValue="jjeXsWJ3SLkYg0iKgNrtxT7ka2rTT+WrKlEKRMiC5Ipok+SuBo/UqheJTWwQzbQMgBke16XtPkj4ZRtOSNmZ6Q==" saltValue="GqQT+odugBlspFImjkpRjg==" spinCount="100000" sheet="1" objects="1" scenarios="1"/>
  <mergeCells count="7">
    <mergeCell ref="A143:B143"/>
    <mergeCell ref="A137:B137"/>
    <mergeCell ref="A138:B138"/>
    <mergeCell ref="A139:B139"/>
    <mergeCell ref="A140:B140"/>
    <mergeCell ref="A141:B141"/>
    <mergeCell ref="A142:B14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2B00B-0B8A-4D4B-B96C-6B2E39F3BD56}">
  <dimension ref="A1:I8"/>
  <sheetViews>
    <sheetView zoomScale="75" zoomScaleNormal="75" workbookViewId="0">
      <selection activeCell="C7" sqref="C7"/>
    </sheetView>
  </sheetViews>
  <sheetFormatPr defaultRowHeight="12.75" x14ac:dyDescent="0.2"/>
  <cols>
    <col min="1" max="1" width="155.28515625" style="59" customWidth="1"/>
    <col min="2" max="3" width="29.85546875" style="59" customWidth="1"/>
    <col min="4" max="4" width="26.7109375" style="59" customWidth="1"/>
    <col min="5" max="5" width="26.5703125" style="59" customWidth="1"/>
    <col min="6" max="6" width="25.7109375" style="59" customWidth="1"/>
    <col min="7" max="7" width="28.5703125" style="59" customWidth="1"/>
    <col min="8" max="8" width="27.7109375" style="59" customWidth="1"/>
    <col min="9" max="17" width="25.7109375" style="59" customWidth="1"/>
    <col min="18" max="18" width="29.7109375" style="59" customWidth="1"/>
    <col min="19" max="19" width="25.7109375" style="59" customWidth="1"/>
    <col min="20" max="20" width="44.7109375" style="59" customWidth="1"/>
    <col min="21" max="21" width="25.7109375" style="59" customWidth="1"/>
    <col min="22" max="22" width="32.140625" style="59" customWidth="1"/>
    <col min="23" max="23" width="38.28515625" style="59" customWidth="1"/>
    <col min="24" max="24" width="32.7109375" style="59" customWidth="1"/>
    <col min="25" max="25" width="61" style="59" customWidth="1"/>
    <col min="26" max="26" width="25.7109375" style="59" customWidth="1"/>
    <col min="27" max="27" width="90.140625" style="59" customWidth="1"/>
    <col min="28" max="28" width="71.140625" style="59" customWidth="1"/>
    <col min="29" max="29" width="13.5703125" style="59" customWidth="1"/>
    <col min="30" max="256" width="9.140625" style="59"/>
    <col min="257" max="257" width="155.28515625" style="59" customWidth="1"/>
    <col min="258" max="259" width="29.85546875" style="59" customWidth="1"/>
    <col min="260" max="260" width="26.7109375" style="59" customWidth="1"/>
    <col min="261" max="261" width="26.5703125" style="59" customWidth="1"/>
    <col min="262" max="262" width="25.7109375" style="59" customWidth="1"/>
    <col min="263" max="263" width="28.5703125" style="59" customWidth="1"/>
    <col min="264" max="264" width="27.7109375" style="59" customWidth="1"/>
    <col min="265" max="273" width="25.7109375" style="59" customWidth="1"/>
    <col min="274" max="274" width="29.7109375" style="59" customWidth="1"/>
    <col min="275" max="275" width="25.7109375" style="59" customWidth="1"/>
    <col min="276" max="276" width="44.7109375" style="59" customWidth="1"/>
    <col min="277" max="277" width="25.7109375" style="59" customWidth="1"/>
    <col min="278" max="278" width="32.140625" style="59" customWidth="1"/>
    <col min="279" max="279" width="38.28515625" style="59" customWidth="1"/>
    <col min="280" max="280" width="32.7109375" style="59" customWidth="1"/>
    <col min="281" max="281" width="61" style="59" customWidth="1"/>
    <col min="282" max="282" width="25.7109375" style="59" customWidth="1"/>
    <col min="283" max="283" width="206.85546875" style="59" customWidth="1"/>
    <col min="284" max="284" width="71.140625" style="59" customWidth="1"/>
    <col min="285" max="285" width="13.5703125" style="59" customWidth="1"/>
    <col min="286" max="512" width="9.140625" style="59"/>
    <col min="513" max="513" width="155.28515625" style="59" customWidth="1"/>
    <col min="514" max="515" width="29.85546875" style="59" customWidth="1"/>
    <col min="516" max="516" width="26.7109375" style="59" customWidth="1"/>
    <col min="517" max="517" width="26.5703125" style="59" customWidth="1"/>
    <col min="518" max="518" width="25.7109375" style="59" customWidth="1"/>
    <col min="519" max="519" width="28.5703125" style="59" customWidth="1"/>
    <col min="520" max="520" width="27.7109375" style="59" customWidth="1"/>
    <col min="521" max="529" width="25.7109375" style="59" customWidth="1"/>
    <col min="530" max="530" width="29.7109375" style="59" customWidth="1"/>
    <col min="531" max="531" width="25.7109375" style="59" customWidth="1"/>
    <col min="532" max="532" width="44.7109375" style="59" customWidth="1"/>
    <col min="533" max="533" width="25.7109375" style="59" customWidth="1"/>
    <col min="534" max="534" width="32.140625" style="59" customWidth="1"/>
    <col min="535" max="535" width="38.28515625" style="59" customWidth="1"/>
    <col min="536" max="536" width="32.7109375" style="59" customWidth="1"/>
    <col min="537" max="537" width="61" style="59" customWidth="1"/>
    <col min="538" max="538" width="25.7109375" style="59" customWidth="1"/>
    <col min="539" max="539" width="206.85546875" style="59" customWidth="1"/>
    <col min="540" max="540" width="71.140625" style="59" customWidth="1"/>
    <col min="541" max="541" width="13.5703125" style="59" customWidth="1"/>
    <col min="542" max="768" width="9.140625" style="59"/>
    <col min="769" max="769" width="155.28515625" style="59" customWidth="1"/>
    <col min="770" max="771" width="29.85546875" style="59" customWidth="1"/>
    <col min="772" max="772" width="26.7109375" style="59" customWidth="1"/>
    <col min="773" max="773" width="26.5703125" style="59" customWidth="1"/>
    <col min="774" max="774" width="25.7109375" style="59" customWidth="1"/>
    <col min="775" max="775" width="28.5703125" style="59" customWidth="1"/>
    <col min="776" max="776" width="27.7109375" style="59" customWidth="1"/>
    <col min="777" max="785" width="25.7109375" style="59" customWidth="1"/>
    <col min="786" max="786" width="29.7109375" style="59" customWidth="1"/>
    <col min="787" max="787" width="25.7109375" style="59" customWidth="1"/>
    <col min="788" max="788" width="44.7109375" style="59" customWidth="1"/>
    <col min="789" max="789" width="25.7109375" style="59" customWidth="1"/>
    <col min="790" max="790" width="32.140625" style="59" customWidth="1"/>
    <col min="791" max="791" width="38.28515625" style="59" customWidth="1"/>
    <col min="792" max="792" width="32.7109375" style="59" customWidth="1"/>
    <col min="793" max="793" width="61" style="59" customWidth="1"/>
    <col min="794" max="794" width="25.7109375" style="59" customWidth="1"/>
    <col min="795" max="795" width="206.85546875" style="59" customWidth="1"/>
    <col min="796" max="796" width="71.140625" style="59" customWidth="1"/>
    <col min="797" max="797" width="13.5703125" style="59" customWidth="1"/>
    <col min="798" max="1024" width="9.140625" style="59"/>
    <col min="1025" max="1025" width="155.28515625" style="59" customWidth="1"/>
    <col min="1026" max="1027" width="29.85546875" style="59" customWidth="1"/>
    <col min="1028" max="1028" width="26.7109375" style="59" customWidth="1"/>
    <col min="1029" max="1029" width="26.5703125" style="59" customWidth="1"/>
    <col min="1030" max="1030" width="25.7109375" style="59" customWidth="1"/>
    <col min="1031" max="1031" width="28.5703125" style="59" customWidth="1"/>
    <col min="1032" max="1032" width="27.7109375" style="59" customWidth="1"/>
    <col min="1033" max="1041" width="25.7109375" style="59" customWidth="1"/>
    <col min="1042" max="1042" width="29.7109375" style="59" customWidth="1"/>
    <col min="1043" max="1043" width="25.7109375" style="59" customWidth="1"/>
    <col min="1044" max="1044" width="44.7109375" style="59" customWidth="1"/>
    <col min="1045" max="1045" width="25.7109375" style="59" customWidth="1"/>
    <col min="1046" max="1046" width="32.140625" style="59" customWidth="1"/>
    <col min="1047" max="1047" width="38.28515625" style="59" customWidth="1"/>
    <col min="1048" max="1048" width="32.7109375" style="59" customWidth="1"/>
    <col min="1049" max="1049" width="61" style="59" customWidth="1"/>
    <col min="1050" max="1050" width="25.7109375" style="59" customWidth="1"/>
    <col min="1051" max="1051" width="206.85546875" style="59" customWidth="1"/>
    <col min="1052" max="1052" width="71.140625" style="59" customWidth="1"/>
    <col min="1053" max="1053" width="13.5703125" style="59" customWidth="1"/>
    <col min="1054" max="1280" width="9.140625" style="59"/>
    <col min="1281" max="1281" width="155.28515625" style="59" customWidth="1"/>
    <col min="1282" max="1283" width="29.85546875" style="59" customWidth="1"/>
    <col min="1284" max="1284" width="26.7109375" style="59" customWidth="1"/>
    <col min="1285" max="1285" width="26.5703125" style="59" customWidth="1"/>
    <col min="1286" max="1286" width="25.7109375" style="59" customWidth="1"/>
    <col min="1287" max="1287" width="28.5703125" style="59" customWidth="1"/>
    <col min="1288" max="1288" width="27.7109375" style="59" customWidth="1"/>
    <col min="1289" max="1297" width="25.7109375" style="59" customWidth="1"/>
    <col min="1298" max="1298" width="29.7109375" style="59" customWidth="1"/>
    <col min="1299" max="1299" width="25.7109375" style="59" customWidth="1"/>
    <col min="1300" max="1300" width="44.7109375" style="59" customWidth="1"/>
    <col min="1301" max="1301" width="25.7109375" style="59" customWidth="1"/>
    <col min="1302" max="1302" width="32.140625" style="59" customWidth="1"/>
    <col min="1303" max="1303" width="38.28515625" style="59" customWidth="1"/>
    <col min="1304" max="1304" width="32.7109375" style="59" customWidth="1"/>
    <col min="1305" max="1305" width="61" style="59" customWidth="1"/>
    <col min="1306" max="1306" width="25.7109375" style="59" customWidth="1"/>
    <col min="1307" max="1307" width="206.85546875" style="59" customWidth="1"/>
    <col min="1308" max="1308" width="71.140625" style="59" customWidth="1"/>
    <col min="1309" max="1309" width="13.5703125" style="59" customWidth="1"/>
    <col min="1310" max="1536" width="9.140625" style="59"/>
    <col min="1537" max="1537" width="155.28515625" style="59" customWidth="1"/>
    <col min="1538" max="1539" width="29.85546875" style="59" customWidth="1"/>
    <col min="1540" max="1540" width="26.7109375" style="59" customWidth="1"/>
    <col min="1541" max="1541" width="26.5703125" style="59" customWidth="1"/>
    <col min="1542" max="1542" width="25.7109375" style="59" customWidth="1"/>
    <col min="1543" max="1543" width="28.5703125" style="59" customWidth="1"/>
    <col min="1544" max="1544" width="27.7109375" style="59" customWidth="1"/>
    <col min="1545" max="1553" width="25.7109375" style="59" customWidth="1"/>
    <col min="1554" max="1554" width="29.7109375" style="59" customWidth="1"/>
    <col min="1555" max="1555" width="25.7109375" style="59" customWidth="1"/>
    <col min="1556" max="1556" width="44.7109375" style="59" customWidth="1"/>
    <col min="1557" max="1557" width="25.7109375" style="59" customWidth="1"/>
    <col min="1558" max="1558" width="32.140625" style="59" customWidth="1"/>
    <col min="1559" max="1559" width="38.28515625" style="59" customWidth="1"/>
    <col min="1560" max="1560" width="32.7109375" style="59" customWidth="1"/>
    <col min="1561" max="1561" width="61" style="59" customWidth="1"/>
    <col min="1562" max="1562" width="25.7109375" style="59" customWidth="1"/>
    <col min="1563" max="1563" width="206.85546875" style="59" customWidth="1"/>
    <col min="1564" max="1564" width="71.140625" style="59" customWidth="1"/>
    <col min="1565" max="1565" width="13.5703125" style="59" customWidth="1"/>
    <col min="1566" max="1792" width="9.140625" style="59"/>
    <col min="1793" max="1793" width="155.28515625" style="59" customWidth="1"/>
    <col min="1794" max="1795" width="29.85546875" style="59" customWidth="1"/>
    <col min="1796" max="1796" width="26.7109375" style="59" customWidth="1"/>
    <col min="1797" max="1797" width="26.5703125" style="59" customWidth="1"/>
    <col min="1798" max="1798" width="25.7109375" style="59" customWidth="1"/>
    <col min="1799" max="1799" width="28.5703125" style="59" customWidth="1"/>
    <col min="1800" max="1800" width="27.7109375" style="59" customWidth="1"/>
    <col min="1801" max="1809" width="25.7109375" style="59" customWidth="1"/>
    <col min="1810" max="1810" width="29.7109375" style="59" customWidth="1"/>
    <col min="1811" max="1811" width="25.7109375" style="59" customWidth="1"/>
    <col min="1812" max="1812" width="44.7109375" style="59" customWidth="1"/>
    <col min="1813" max="1813" width="25.7109375" style="59" customWidth="1"/>
    <col min="1814" max="1814" width="32.140625" style="59" customWidth="1"/>
    <col min="1815" max="1815" width="38.28515625" style="59" customWidth="1"/>
    <col min="1816" max="1816" width="32.7109375" style="59" customWidth="1"/>
    <col min="1817" max="1817" width="61" style="59" customWidth="1"/>
    <col min="1818" max="1818" width="25.7109375" style="59" customWidth="1"/>
    <col min="1819" max="1819" width="206.85546875" style="59" customWidth="1"/>
    <col min="1820" max="1820" width="71.140625" style="59" customWidth="1"/>
    <col min="1821" max="1821" width="13.5703125" style="59" customWidth="1"/>
    <col min="1822" max="2048" width="9.140625" style="59"/>
    <col min="2049" max="2049" width="155.28515625" style="59" customWidth="1"/>
    <col min="2050" max="2051" width="29.85546875" style="59" customWidth="1"/>
    <col min="2052" max="2052" width="26.7109375" style="59" customWidth="1"/>
    <col min="2053" max="2053" width="26.5703125" style="59" customWidth="1"/>
    <col min="2054" max="2054" width="25.7109375" style="59" customWidth="1"/>
    <col min="2055" max="2055" width="28.5703125" style="59" customWidth="1"/>
    <col min="2056" max="2056" width="27.7109375" style="59" customWidth="1"/>
    <col min="2057" max="2065" width="25.7109375" style="59" customWidth="1"/>
    <col min="2066" max="2066" width="29.7109375" style="59" customWidth="1"/>
    <col min="2067" max="2067" width="25.7109375" style="59" customWidth="1"/>
    <col min="2068" max="2068" width="44.7109375" style="59" customWidth="1"/>
    <col min="2069" max="2069" width="25.7109375" style="59" customWidth="1"/>
    <col min="2070" max="2070" width="32.140625" style="59" customWidth="1"/>
    <col min="2071" max="2071" width="38.28515625" style="59" customWidth="1"/>
    <col min="2072" max="2072" width="32.7109375" style="59" customWidth="1"/>
    <col min="2073" max="2073" width="61" style="59" customWidth="1"/>
    <col min="2074" max="2074" width="25.7109375" style="59" customWidth="1"/>
    <col min="2075" max="2075" width="206.85546875" style="59" customWidth="1"/>
    <col min="2076" max="2076" width="71.140625" style="59" customWidth="1"/>
    <col min="2077" max="2077" width="13.5703125" style="59" customWidth="1"/>
    <col min="2078" max="2304" width="9.140625" style="59"/>
    <col min="2305" max="2305" width="155.28515625" style="59" customWidth="1"/>
    <col min="2306" max="2307" width="29.85546875" style="59" customWidth="1"/>
    <col min="2308" max="2308" width="26.7109375" style="59" customWidth="1"/>
    <col min="2309" max="2309" width="26.5703125" style="59" customWidth="1"/>
    <col min="2310" max="2310" width="25.7109375" style="59" customWidth="1"/>
    <col min="2311" max="2311" width="28.5703125" style="59" customWidth="1"/>
    <col min="2312" max="2312" width="27.7109375" style="59" customWidth="1"/>
    <col min="2313" max="2321" width="25.7109375" style="59" customWidth="1"/>
    <col min="2322" max="2322" width="29.7109375" style="59" customWidth="1"/>
    <col min="2323" max="2323" width="25.7109375" style="59" customWidth="1"/>
    <col min="2324" max="2324" width="44.7109375" style="59" customWidth="1"/>
    <col min="2325" max="2325" width="25.7109375" style="59" customWidth="1"/>
    <col min="2326" max="2326" width="32.140625" style="59" customWidth="1"/>
    <col min="2327" max="2327" width="38.28515625" style="59" customWidth="1"/>
    <col min="2328" max="2328" width="32.7109375" style="59" customWidth="1"/>
    <col min="2329" max="2329" width="61" style="59" customWidth="1"/>
    <col min="2330" max="2330" width="25.7109375" style="59" customWidth="1"/>
    <col min="2331" max="2331" width="206.85546875" style="59" customWidth="1"/>
    <col min="2332" max="2332" width="71.140625" style="59" customWidth="1"/>
    <col min="2333" max="2333" width="13.5703125" style="59" customWidth="1"/>
    <col min="2334" max="2560" width="9.140625" style="59"/>
    <col min="2561" max="2561" width="155.28515625" style="59" customWidth="1"/>
    <col min="2562" max="2563" width="29.85546875" style="59" customWidth="1"/>
    <col min="2564" max="2564" width="26.7109375" style="59" customWidth="1"/>
    <col min="2565" max="2565" width="26.5703125" style="59" customWidth="1"/>
    <col min="2566" max="2566" width="25.7109375" style="59" customWidth="1"/>
    <col min="2567" max="2567" width="28.5703125" style="59" customWidth="1"/>
    <col min="2568" max="2568" width="27.7109375" style="59" customWidth="1"/>
    <col min="2569" max="2577" width="25.7109375" style="59" customWidth="1"/>
    <col min="2578" max="2578" width="29.7109375" style="59" customWidth="1"/>
    <col min="2579" max="2579" width="25.7109375" style="59" customWidth="1"/>
    <col min="2580" max="2580" width="44.7109375" style="59" customWidth="1"/>
    <col min="2581" max="2581" width="25.7109375" style="59" customWidth="1"/>
    <col min="2582" max="2582" width="32.140625" style="59" customWidth="1"/>
    <col min="2583" max="2583" width="38.28515625" style="59" customWidth="1"/>
    <col min="2584" max="2584" width="32.7109375" style="59" customWidth="1"/>
    <col min="2585" max="2585" width="61" style="59" customWidth="1"/>
    <col min="2586" max="2586" width="25.7109375" style="59" customWidth="1"/>
    <col min="2587" max="2587" width="206.85546875" style="59" customWidth="1"/>
    <col min="2588" max="2588" width="71.140625" style="59" customWidth="1"/>
    <col min="2589" max="2589" width="13.5703125" style="59" customWidth="1"/>
    <col min="2590" max="2816" width="9.140625" style="59"/>
    <col min="2817" max="2817" width="155.28515625" style="59" customWidth="1"/>
    <col min="2818" max="2819" width="29.85546875" style="59" customWidth="1"/>
    <col min="2820" max="2820" width="26.7109375" style="59" customWidth="1"/>
    <col min="2821" max="2821" width="26.5703125" style="59" customWidth="1"/>
    <col min="2822" max="2822" width="25.7109375" style="59" customWidth="1"/>
    <col min="2823" max="2823" width="28.5703125" style="59" customWidth="1"/>
    <col min="2824" max="2824" width="27.7109375" style="59" customWidth="1"/>
    <col min="2825" max="2833" width="25.7109375" style="59" customWidth="1"/>
    <col min="2834" max="2834" width="29.7109375" style="59" customWidth="1"/>
    <col min="2835" max="2835" width="25.7109375" style="59" customWidth="1"/>
    <col min="2836" max="2836" width="44.7109375" style="59" customWidth="1"/>
    <col min="2837" max="2837" width="25.7109375" style="59" customWidth="1"/>
    <col min="2838" max="2838" width="32.140625" style="59" customWidth="1"/>
    <col min="2839" max="2839" width="38.28515625" style="59" customWidth="1"/>
    <col min="2840" max="2840" width="32.7109375" style="59" customWidth="1"/>
    <col min="2841" max="2841" width="61" style="59" customWidth="1"/>
    <col min="2842" max="2842" width="25.7109375" style="59" customWidth="1"/>
    <col min="2843" max="2843" width="206.85546875" style="59" customWidth="1"/>
    <col min="2844" max="2844" width="71.140625" style="59" customWidth="1"/>
    <col min="2845" max="2845" width="13.5703125" style="59" customWidth="1"/>
    <col min="2846" max="3072" width="9.140625" style="59"/>
    <col min="3073" max="3073" width="155.28515625" style="59" customWidth="1"/>
    <col min="3074" max="3075" width="29.85546875" style="59" customWidth="1"/>
    <col min="3076" max="3076" width="26.7109375" style="59" customWidth="1"/>
    <col min="3077" max="3077" width="26.5703125" style="59" customWidth="1"/>
    <col min="3078" max="3078" width="25.7109375" style="59" customWidth="1"/>
    <col min="3079" max="3079" width="28.5703125" style="59" customWidth="1"/>
    <col min="3080" max="3080" width="27.7109375" style="59" customWidth="1"/>
    <col min="3081" max="3089" width="25.7109375" style="59" customWidth="1"/>
    <col min="3090" max="3090" width="29.7109375" style="59" customWidth="1"/>
    <col min="3091" max="3091" width="25.7109375" style="59" customWidth="1"/>
    <col min="3092" max="3092" width="44.7109375" style="59" customWidth="1"/>
    <col min="3093" max="3093" width="25.7109375" style="59" customWidth="1"/>
    <col min="3094" max="3094" width="32.140625" style="59" customWidth="1"/>
    <col min="3095" max="3095" width="38.28515625" style="59" customWidth="1"/>
    <col min="3096" max="3096" width="32.7109375" style="59" customWidth="1"/>
    <col min="3097" max="3097" width="61" style="59" customWidth="1"/>
    <col min="3098" max="3098" width="25.7109375" style="59" customWidth="1"/>
    <col min="3099" max="3099" width="206.85546875" style="59" customWidth="1"/>
    <col min="3100" max="3100" width="71.140625" style="59" customWidth="1"/>
    <col min="3101" max="3101" width="13.5703125" style="59" customWidth="1"/>
    <col min="3102" max="3328" width="9.140625" style="59"/>
    <col min="3329" max="3329" width="155.28515625" style="59" customWidth="1"/>
    <col min="3330" max="3331" width="29.85546875" style="59" customWidth="1"/>
    <col min="3332" max="3332" width="26.7109375" style="59" customWidth="1"/>
    <col min="3333" max="3333" width="26.5703125" style="59" customWidth="1"/>
    <col min="3334" max="3334" width="25.7109375" style="59" customWidth="1"/>
    <col min="3335" max="3335" width="28.5703125" style="59" customWidth="1"/>
    <col min="3336" max="3336" width="27.7109375" style="59" customWidth="1"/>
    <col min="3337" max="3345" width="25.7109375" style="59" customWidth="1"/>
    <col min="3346" max="3346" width="29.7109375" style="59" customWidth="1"/>
    <col min="3347" max="3347" width="25.7109375" style="59" customWidth="1"/>
    <col min="3348" max="3348" width="44.7109375" style="59" customWidth="1"/>
    <col min="3349" max="3349" width="25.7109375" style="59" customWidth="1"/>
    <col min="3350" max="3350" width="32.140625" style="59" customWidth="1"/>
    <col min="3351" max="3351" width="38.28515625" style="59" customWidth="1"/>
    <col min="3352" max="3352" width="32.7109375" style="59" customWidth="1"/>
    <col min="3353" max="3353" width="61" style="59" customWidth="1"/>
    <col min="3354" max="3354" width="25.7109375" style="59" customWidth="1"/>
    <col min="3355" max="3355" width="206.85546875" style="59" customWidth="1"/>
    <col min="3356" max="3356" width="71.140625" style="59" customWidth="1"/>
    <col min="3357" max="3357" width="13.5703125" style="59" customWidth="1"/>
    <col min="3358" max="3584" width="9.140625" style="59"/>
    <col min="3585" max="3585" width="155.28515625" style="59" customWidth="1"/>
    <col min="3586" max="3587" width="29.85546875" style="59" customWidth="1"/>
    <col min="3588" max="3588" width="26.7109375" style="59" customWidth="1"/>
    <col min="3589" max="3589" width="26.5703125" style="59" customWidth="1"/>
    <col min="3590" max="3590" width="25.7109375" style="59" customWidth="1"/>
    <col min="3591" max="3591" width="28.5703125" style="59" customWidth="1"/>
    <col min="3592" max="3592" width="27.7109375" style="59" customWidth="1"/>
    <col min="3593" max="3601" width="25.7109375" style="59" customWidth="1"/>
    <col min="3602" max="3602" width="29.7109375" style="59" customWidth="1"/>
    <col min="3603" max="3603" width="25.7109375" style="59" customWidth="1"/>
    <col min="3604" max="3604" width="44.7109375" style="59" customWidth="1"/>
    <col min="3605" max="3605" width="25.7109375" style="59" customWidth="1"/>
    <col min="3606" max="3606" width="32.140625" style="59" customWidth="1"/>
    <col min="3607" max="3607" width="38.28515625" style="59" customWidth="1"/>
    <col min="3608" max="3608" width="32.7109375" style="59" customWidth="1"/>
    <col min="3609" max="3609" width="61" style="59" customWidth="1"/>
    <col min="3610" max="3610" width="25.7109375" style="59" customWidth="1"/>
    <col min="3611" max="3611" width="206.85546875" style="59" customWidth="1"/>
    <col min="3612" max="3612" width="71.140625" style="59" customWidth="1"/>
    <col min="3613" max="3613" width="13.5703125" style="59" customWidth="1"/>
    <col min="3614" max="3840" width="9.140625" style="59"/>
    <col min="3841" max="3841" width="155.28515625" style="59" customWidth="1"/>
    <col min="3842" max="3843" width="29.85546875" style="59" customWidth="1"/>
    <col min="3844" max="3844" width="26.7109375" style="59" customWidth="1"/>
    <col min="3845" max="3845" width="26.5703125" style="59" customWidth="1"/>
    <col min="3846" max="3846" width="25.7109375" style="59" customWidth="1"/>
    <col min="3847" max="3847" width="28.5703125" style="59" customWidth="1"/>
    <col min="3848" max="3848" width="27.7109375" style="59" customWidth="1"/>
    <col min="3849" max="3857" width="25.7109375" style="59" customWidth="1"/>
    <col min="3858" max="3858" width="29.7109375" style="59" customWidth="1"/>
    <col min="3859" max="3859" width="25.7109375" style="59" customWidth="1"/>
    <col min="3860" max="3860" width="44.7109375" style="59" customWidth="1"/>
    <col min="3861" max="3861" width="25.7109375" style="59" customWidth="1"/>
    <col min="3862" max="3862" width="32.140625" style="59" customWidth="1"/>
    <col min="3863" max="3863" width="38.28515625" style="59" customWidth="1"/>
    <col min="3864" max="3864" width="32.7109375" style="59" customWidth="1"/>
    <col min="3865" max="3865" width="61" style="59" customWidth="1"/>
    <col min="3866" max="3866" width="25.7109375" style="59" customWidth="1"/>
    <col min="3867" max="3867" width="206.85546875" style="59" customWidth="1"/>
    <col min="3868" max="3868" width="71.140625" style="59" customWidth="1"/>
    <col min="3869" max="3869" width="13.5703125" style="59" customWidth="1"/>
    <col min="3870" max="4096" width="9.140625" style="59"/>
    <col min="4097" max="4097" width="155.28515625" style="59" customWidth="1"/>
    <col min="4098" max="4099" width="29.85546875" style="59" customWidth="1"/>
    <col min="4100" max="4100" width="26.7109375" style="59" customWidth="1"/>
    <col min="4101" max="4101" width="26.5703125" style="59" customWidth="1"/>
    <col min="4102" max="4102" width="25.7109375" style="59" customWidth="1"/>
    <col min="4103" max="4103" width="28.5703125" style="59" customWidth="1"/>
    <col min="4104" max="4104" width="27.7109375" style="59" customWidth="1"/>
    <col min="4105" max="4113" width="25.7109375" style="59" customWidth="1"/>
    <col min="4114" max="4114" width="29.7109375" style="59" customWidth="1"/>
    <col min="4115" max="4115" width="25.7109375" style="59" customWidth="1"/>
    <col min="4116" max="4116" width="44.7109375" style="59" customWidth="1"/>
    <col min="4117" max="4117" width="25.7109375" style="59" customWidth="1"/>
    <col min="4118" max="4118" width="32.140625" style="59" customWidth="1"/>
    <col min="4119" max="4119" width="38.28515625" style="59" customWidth="1"/>
    <col min="4120" max="4120" width="32.7109375" style="59" customWidth="1"/>
    <col min="4121" max="4121" width="61" style="59" customWidth="1"/>
    <col min="4122" max="4122" width="25.7109375" style="59" customWidth="1"/>
    <col min="4123" max="4123" width="206.85546875" style="59" customWidth="1"/>
    <col min="4124" max="4124" width="71.140625" style="59" customWidth="1"/>
    <col min="4125" max="4125" width="13.5703125" style="59" customWidth="1"/>
    <col min="4126" max="4352" width="9.140625" style="59"/>
    <col min="4353" max="4353" width="155.28515625" style="59" customWidth="1"/>
    <col min="4354" max="4355" width="29.85546875" style="59" customWidth="1"/>
    <col min="4356" max="4356" width="26.7109375" style="59" customWidth="1"/>
    <col min="4357" max="4357" width="26.5703125" style="59" customWidth="1"/>
    <col min="4358" max="4358" width="25.7109375" style="59" customWidth="1"/>
    <col min="4359" max="4359" width="28.5703125" style="59" customWidth="1"/>
    <col min="4360" max="4360" width="27.7109375" style="59" customWidth="1"/>
    <col min="4361" max="4369" width="25.7109375" style="59" customWidth="1"/>
    <col min="4370" max="4370" width="29.7109375" style="59" customWidth="1"/>
    <col min="4371" max="4371" width="25.7109375" style="59" customWidth="1"/>
    <col min="4372" max="4372" width="44.7109375" style="59" customWidth="1"/>
    <col min="4373" max="4373" width="25.7109375" style="59" customWidth="1"/>
    <col min="4374" max="4374" width="32.140625" style="59" customWidth="1"/>
    <col min="4375" max="4375" width="38.28515625" style="59" customWidth="1"/>
    <col min="4376" max="4376" width="32.7109375" style="59" customWidth="1"/>
    <col min="4377" max="4377" width="61" style="59" customWidth="1"/>
    <col min="4378" max="4378" width="25.7109375" style="59" customWidth="1"/>
    <col min="4379" max="4379" width="206.85546875" style="59" customWidth="1"/>
    <col min="4380" max="4380" width="71.140625" style="59" customWidth="1"/>
    <col min="4381" max="4381" width="13.5703125" style="59" customWidth="1"/>
    <col min="4382" max="4608" width="9.140625" style="59"/>
    <col min="4609" max="4609" width="155.28515625" style="59" customWidth="1"/>
    <col min="4610" max="4611" width="29.85546875" style="59" customWidth="1"/>
    <col min="4612" max="4612" width="26.7109375" style="59" customWidth="1"/>
    <col min="4613" max="4613" width="26.5703125" style="59" customWidth="1"/>
    <col min="4614" max="4614" width="25.7109375" style="59" customWidth="1"/>
    <col min="4615" max="4615" width="28.5703125" style="59" customWidth="1"/>
    <col min="4616" max="4616" width="27.7109375" style="59" customWidth="1"/>
    <col min="4617" max="4625" width="25.7109375" style="59" customWidth="1"/>
    <col min="4626" max="4626" width="29.7109375" style="59" customWidth="1"/>
    <col min="4627" max="4627" width="25.7109375" style="59" customWidth="1"/>
    <col min="4628" max="4628" width="44.7109375" style="59" customWidth="1"/>
    <col min="4629" max="4629" width="25.7109375" style="59" customWidth="1"/>
    <col min="4630" max="4630" width="32.140625" style="59" customWidth="1"/>
    <col min="4631" max="4631" width="38.28515625" style="59" customWidth="1"/>
    <col min="4632" max="4632" width="32.7109375" style="59" customWidth="1"/>
    <col min="4633" max="4633" width="61" style="59" customWidth="1"/>
    <col min="4634" max="4634" width="25.7109375" style="59" customWidth="1"/>
    <col min="4635" max="4635" width="206.85546875" style="59" customWidth="1"/>
    <col min="4636" max="4636" width="71.140625" style="59" customWidth="1"/>
    <col min="4637" max="4637" width="13.5703125" style="59" customWidth="1"/>
    <col min="4638" max="4864" width="9.140625" style="59"/>
    <col min="4865" max="4865" width="155.28515625" style="59" customWidth="1"/>
    <col min="4866" max="4867" width="29.85546875" style="59" customWidth="1"/>
    <col min="4868" max="4868" width="26.7109375" style="59" customWidth="1"/>
    <col min="4869" max="4869" width="26.5703125" style="59" customWidth="1"/>
    <col min="4870" max="4870" width="25.7109375" style="59" customWidth="1"/>
    <col min="4871" max="4871" width="28.5703125" style="59" customWidth="1"/>
    <col min="4872" max="4872" width="27.7109375" style="59" customWidth="1"/>
    <col min="4873" max="4881" width="25.7109375" style="59" customWidth="1"/>
    <col min="4882" max="4882" width="29.7109375" style="59" customWidth="1"/>
    <col min="4883" max="4883" width="25.7109375" style="59" customWidth="1"/>
    <col min="4884" max="4884" width="44.7109375" style="59" customWidth="1"/>
    <col min="4885" max="4885" width="25.7109375" style="59" customWidth="1"/>
    <col min="4886" max="4886" width="32.140625" style="59" customWidth="1"/>
    <col min="4887" max="4887" width="38.28515625" style="59" customWidth="1"/>
    <col min="4888" max="4888" width="32.7109375" style="59" customWidth="1"/>
    <col min="4889" max="4889" width="61" style="59" customWidth="1"/>
    <col min="4890" max="4890" width="25.7109375" style="59" customWidth="1"/>
    <col min="4891" max="4891" width="206.85546875" style="59" customWidth="1"/>
    <col min="4892" max="4892" width="71.140625" style="59" customWidth="1"/>
    <col min="4893" max="4893" width="13.5703125" style="59" customWidth="1"/>
    <col min="4894" max="5120" width="9.140625" style="59"/>
    <col min="5121" max="5121" width="155.28515625" style="59" customWidth="1"/>
    <col min="5122" max="5123" width="29.85546875" style="59" customWidth="1"/>
    <col min="5124" max="5124" width="26.7109375" style="59" customWidth="1"/>
    <col min="5125" max="5125" width="26.5703125" style="59" customWidth="1"/>
    <col min="5126" max="5126" width="25.7109375" style="59" customWidth="1"/>
    <col min="5127" max="5127" width="28.5703125" style="59" customWidth="1"/>
    <col min="5128" max="5128" width="27.7109375" style="59" customWidth="1"/>
    <col min="5129" max="5137" width="25.7109375" style="59" customWidth="1"/>
    <col min="5138" max="5138" width="29.7109375" style="59" customWidth="1"/>
    <col min="5139" max="5139" width="25.7109375" style="59" customWidth="1"/>
    <col min="5140" max="5140" width="44.7109375" style="59" customWidth="1"/>
    <col min="5141" max="5141" width="25.7109375" style="59" customWidth="1"/>
    <col min="5142" max="5142" width="32.140625" style="59" customWidth="1"/>
    <col min="5143" max="5143" width="38.28515625" style="59" customWidth="1"/>
    <col min="5144" max="5144" width="32.7109375" style="59" customWidth="1"/>
    <col min="5145" max="5145" width="61" style="59" customWidth="1"/>
    <col min="5146" max="5146" width="25.7109375" style="59" customWidth="1"/>
    <col min="5147" max="5147" width="206.85546875" style="59" customWidth="1"/>
    <col min="5148" max="5148" width="71.140625" style="59" customWidth="1"/>
    <col min="5149" max="5149" width="13.5703125" style="59" customWidth="1"/>
    <col min="5150" max="5376" width="9.140625" style="59"/>
    <col min="5377" max="5377" width="155.28515625" style="59" customWidth="1"/>
    <col min="5378" max="5379" width="29.85546875" style="59" customWidth="1"/>
    <col min="5380" max="5380" width="26.7109375" style="59" customWidth="1"/>
    <col min="5381" max="5381" width="26.5703125" style="59" customWidth="1"/>
    <col min="5382" max="5382" width="25.7109375" style="59" customWidth="1"/>
    <col min="5383" max="5383" width="28.5703125" style="59" customWidth="1"/>
    <col min="5384" max="5384" width="27.7109375" style="59" customWidth="1"/>
    <col min="5385" max="5393" width="25.7109375" style="59" customWidth="1"/>
    <col min="5394" max="5394" width="29.7109375" style="59" customWidth="1"/>
    <col min="5395" max="5395" width="25.7109375" style="59" customWidth="1"/>
    <col min="5396" max="5396" width="44.7109375" style="59" customWidth="1"/>
    <col min="5397" max="5397" width="25.7109375" style="59" customWidth="1"/>
    <col min="5398" max="5398" width="32.140625" style="59" customWidth="1"/>
    <col min="5399" max="5399" width="38.28515625" style="59" customWidth="1"/>
    <col min="5400" max="5400" width="32.7109375" style="59" customWidth="1"/>
    <col min="5401" max="5401" width="61" style="59" customWidth="1"/>
    <col min="5402" max="5402" width="25.7109375" style="59" customWidth="1"/>
    <col min="5403" max="5403" width="206.85546875" style="59" customWidth="1"/>
    <col min="5404" max="5404" width="71.140625" style="59" customWidth="1"/>
    <col min="5405" max="5405" width="13.5703125" style="59" customWidth="1"/>
    <col min="5406" max="5632" width="9.140625" style="59"/>
    <col min="5633" max="5633" width="155.28515625" style="59" customWidth="1"/>
    <col min="5634" max="5635" width="29.85546875" style="59" customWidth="1"/>
    <col min="5636" max="5636" width="26.7109375" style="59" customWidth="1"/>
    <col min="5637" max="5637" width="26.5703125" style="59" customWidth="1"/>
    <col min="5638" max="5638" width="25.7109375" style="59" customWidth="1"/>
    <col min="5639" max="5639" width="28.5703125" style="59" customWidth="1"/>
    <col min="5640" max="5640" width="27.7109375" style="59" customWidth="1"/>
    <col min="5641" max="5649" width="25.7109375" style="59" customWidth="1"/>
    <col min="5650" max="5650" width="29.7109375" style="59" customWidth="1"/>
    <col min="5651" max="5651" width="25.7109375" style="59" customWidth="1"/>
    <col min="5652" max="5652" width="44.7109375" style="59" customWidth="1"/>
    <col min="5653" max="5653" width="25.7109375" style="59" customWidth="1"/>
    <col min="5654" max="5654" width="32.140625" style="59" customWidth="1"/>
    <col min="5655" max="5655" width="38.28515625" style="59" customWidth="1"/>
    <col min="5656" max="5656" width="32.7109375" style="59" customWidth="1"/>
    <col min="5657" max="5657" width="61" style="59" customWidth="1"/>
    <col min="5658" max="5658" width="25.7109375" style="59" customWidth="1"/>
    <col min="5659" max="5659" width="206.85546875" style="59" customWidth="1"/>
    <col min="5660" max="5660" width="71.140625" style="59" customWidth="1"/>
    <col min="5661" max="5661" width="13.5703125" style="59" customWidth="1"/>
    <col min="5662" max="5888" width="9.140625" style="59"/>
    <col min="5889" max="5889" width="155.28515625" style="59" customWidth="1"/>
    <col min="5890" max="5891" width="29.85546875" style="59" customWidth="1"/>
    <col min="5892" max="5892" width="26.7109375" style="59" customWidth="1"/>
    <col min="5893" max="5893" width="26.5703125" style="59" customWidth="1"/>
    <col min="5894" max="5894" width="25.7109375" style="59" customWidth="1"/>
    <col min="5895" max="5895" width="28.5703125" style="59" customWidth="1"/>
    <col min="5896" max="5896" width="27.7109375" style="59" customWidth="1"/>
    <col min="5897" max="5905" width="25.7109375" style="59" customWidth="1"/>
    <col min="5906" max="5906" width="29.7109375" style="59" customWidth="1"/>
    <col min="5907" max="5907" width="25.7109375" style="59" customWidth="1"/>
    <col min="5908" max="5908" width="44.7109375" style="59" customWidth="1"/>
    <col min="5909" max="5909" width="25.7109375" style="59" customWidth="1"/>
    <col min="5910" max="5910" width="32.140625" style="59" customWidth="1"/>
    <col min="5911" max="5911" width="38.28515625" style="59" customWidth="1"/>
    <col min="5912" max="5912" width="32.7109375" style="59" customWidth="1"/>
    <col min="5913" max="5913" width="61" style="59" customWidth="1"/>
    <col min="5914" max="5914" width="25.7109375" style="59" customWidth="1"/>
    <col min="5915" max="5915" width="206.85546875" style="59" customWidth="1"/>
    <col min="5916" max="5916" width="71.140625" style="59" customWidth="1"/>
    <col min="5917" max="5917" width="13.5703125" style="59" customWidth="1"/>
    <col min="5918" max="6144" width="9.140625" style="59"/>
    <col min="6145" max="6145" width="155.28515625" style="59" customWidth="1"/>
    <col min="6146" max="6147" width="29.85546875" style="59" customWidth="1"/>
    <col min="6148" max="6148" width="26.7109375" style="59" customWidth="1"/>
    <col min="6149" max="6149" width="26.5703125" style="59" customWidth="1"/>
    <col min="6150" max="6150" width="25.7109375" style="59" customWidth="1"/>
    <col min="6151" max="6151" width="28.5703125" style="59" customWidth="1"/>
    <col min="6152" max="6152" width="27.7109375" style="59" customWidth="1"/>
    <col min="6153" max="6161" width="25.7109375" style="59" customWidth="1"/>
    <col min="6162" max="6162" width="29.7109375" style="59" customWidth="1"/>
    <col min="6163" max="6163" width="25.7109375" style="59" customWidth="1"/>
    <col min="6164" max="6164" width="44.7109375" style="59" customWidth="1"/>
    <col min="6165" max="6165" width="25.7109375" style="59" customWidth="1"/>
    <col min="6166" max="6166" width="32.140625" style="59" customWidth="1"/>
    <col min="6167" max="6167" width="38.28515625" style="59" customWidth="1"/>
    <col min="6168" max="6168" width="32.7109375" style="59" customWidth="1"/>
    <col min="6169" max="6169" width="61" style="59" customWidth="1"/>
    <col min="6170" max="6170" width="25.7109375" style="59" customWidth="1"/>
    <col min="6171" max="6171" width="206.85546875" style="59" customWidth="1"/>
    <col min="6172" max="6172" width="71.140625" style="59" customWidth="1"/>
    <col min="6173" max="6173" width="13.5703125" style="59" customWidth="1"/>
    <col min="6174" max="6400" width="9.140625" style="59"/>
    <col min="6401" max="6401" width="155.28515625" style="59" customWidth="1"/>
    <col min="6402" max="6403" width="29.85546875" style="59" customWidth="1"/>
    <col min="6404" max="6404" width="26.7109375" style="59" customWidth="1"/>
    <col min="6405" max="6405" width="26.5703125" style="59" customWidth="1"/>
    <col min="6406" max="6406" width="25.7109375" style="59" customWidth="1"/>
    <col min="6407" max="6407" width="28.5703125" style="59" customWidth="1"/>
    <col min="6408" max="6408" width="27.7109375" style="59" customWidth="1"/>
    <col min="6409" max="6417" width="25.7109375" style="59" customWidth="1"/>
    <col min="6418" max="6418" width="29.7109375" style="59" customWidth="1"/>
    <col min="6419" max="6419" width="25.7109375" style="59" customWidth="1"/>
    <col min="6420" max="6420" width="44.7109375" style="59" customWidth="1"/>
    <col min="6421" max="6421" width="25.7109375" style="59" customWidth="1"/>
    <col min="6422" max="6422" width="32.140625" style="59" customWidth="1"/>
    <col min="6423" max="6423" width="38.28515625" style="59" customWidth="1"/>
    <col min="6424" max="6424" width="32.7109375" style="59" customWidth="1"/>
    <col min="6425" max="6425" width="61" style="59" customWidth="1"/>
    <col min="6426" max="6426" width="25.7109375" style="59" customWidth="1"/>
    <col min="6427" max="6427" width="206.85546875" style="59" customWidth="1"/>
    <col min="6428" max="6428" width="71.140625" style="59" customWidth="1"/>
    <col min="6429" max="6429" width="13.5703125" style="59" customWidth="1"/>
    <col min="6430" max="6656" width="9.140625" style="59"/>
    <col min="6657" max="6657" width="155.28515625" style="59" customWidth="1"/>
    <col min="6658" max="6659" width="29.85546875" style="59" customWidth="1"/>
    <col min="6660" max="6660" width="26.7109375" style="59" customWidth="1"/>
    <col min="6661" max="6661" width="26.5703125" style="59" customWidth="1"/>
    <col min="6662" max="6662" width="25.7109375" style="59" customWidth="1"/>
    <col min="6663" max="6663" width="28.5703125" style="59" customWidth="1"/>
    <col min="6664" max="6664" width="27.7109375" style="59" customWidth="1"/>
    <col min="6665" max="6673" width="25.7109375" style="59" customWidth="1"/>
    <col min="6674" max="6674" width="29.7109375" style="59" customWidth="1"/>
    <col min="6675" max="6675" width="25.7109375" style="59" customWidth="1"/>
    <col min="6676" max="6676" width="44.7109375" style="59" customWidth="1"/>
    <col min="6677" max="6677" width="25.7109375" style="59" customWidth="1"/>
    <col min="6678" max="6678" width="32.140625" style="59" customWidth="1"/>
    <col min="6679" max="6679" width="38.28515625" style="59" customWidth="1"/>
    <col min="6680" max="6680" width="32.7109375" style="59" customWidth="1"/>
    <col min="6681" max="6681" width="61" style="59" customWidth="1"/>
    <col min="6682" max="6682" width="25.7109375" style="59" customWidth="1"/>
    <col min="6683" max="6683" width="206.85546875" style="59" customWidth="1"/>
    <col min="6684" max="6684" width="71.140625" style="59" customWidth="1"/>
    <col min="6685" max="6685" width="13.5703125" style="59" customWidth="1"/>
    <col min="6686" max="6912" width="9.140625" style="59"/>
    <col min="6913" max="6913" width="155.28515625" style="59" customWidth="1"/>
    <col min="6914" max="6915" width="29.85546875" style="59" customWidth="1"/>
    <col min="6916" max="6916" width="26.7109375" style="59" customWidth="1"/>
    <col min="6917" max="6917" width="26.5703125" style="59" customWidth="1"/>
    <col min="6918" max="6918" width="25.7109375" style="59" customWidth="1"/>
    <col min="6919" max="6919" width="28.5703125" style="59" customWidth="1"/>
    <col min="6920" max="6920" width="27.7109375" style="59" customWidth="1"/>
    <col min="6921" max="6929" width="25.7109375" style="59" customWidth="1"/>
    <col min="6930" max="6930" width="29.7109375" style="59" customWidth="1"/>
    <col min="6931" max="6931" width="25.7109375" style="59" customWidth="1"/>
    <col min="6932" max="6932" width="44.7109375" style="59" customWidth="1"/>
    <col min="6933" max="6933" width="25.7109375" style="59" customWidth="1"/>
    <col min="6934" max="6934" width="32.140625" style="59" customWidth="1"/>
    <col min="6935" max="6935" width="38.28515625" style="59" customWidth="1"/>
    <col min="6936" max="6936" width="32.7109375" style="59" customWidth="1"/>
    <col min="6937" max="6937" width="61" style="59" customWidth="1"/>
    <col min="6938" max="6938" width="25.7109375" style="59" customWidth="1"/>
    <col min="6939" max="6939" width="206.85546875" style="59" customWidth="1"/>
    <col min="6940" max="6940" width="71.140625" style="59" customWidth="1"/>
    <col min="6941" max="6941" width="13.5703125" style="59" customWidth="1"/>
    <col min="6942" max="7168" width="9.140625" style="59"/>
    <col min="7169" max="7169" width="155.28515625" style="59" customWidth="1"/>
    <col min="7170" max="7171" width="29.85546875" style="59" customWidth="1"/>
    <col min="7172" max="7172" width="26.7109375" style="59" customWidth="1"/>
    <col min="7173" max="7173" width="26.5703125" style="59" customWidth="1"/>
    <col min="7174" max="7174" width="25.7109375" style="59" customWidth="1"/>
    <col min="7175" max="7175" width="28.5703125" style="59" customWidth="1"/>
    <col min="7176" max="7176" width="27.7109375" style="59" customWidth="1"/>
    <col min="7177" max="7185" width="25.7109375" style="59" customWidth="1"/>
    <col min="7186" max="7186" width="29.7109375" style="59" customWidth="1"/>
    <col min="7187" max="7187" width="25.7109375" style="59" customWidth="1"/>
    <col min="7188" max="7188" width="44.7109375" style="59" customWidth="1"/>
    <col min="7189" max="7189" width="25.7109375" style="59" customWidth="1"/>
    <col min="7190" max="7190" width="32.140625" style="59" customWidth="1"/>
    <col min="7191" max="7191" width="38.28515625" style="59" customWidth="1"/>
    <col min="7192" max="7192" width="32.7109375" style="59" customWidth="1"/>
    <col min="7193" max="7193" width="61" style="59" customWidth="1"/>
    <col min="7194" max="7194" width="25.7109375" style="59" customWidth="1"/>
    <col min="7195" max="7195" width="206.85546875" style="59" customWidth="1"/>
    <col min="7196" max="7196" width="71.140625" style="59" customWidth="1"/>
    <col min="7197" max="7197" width="13.5703125" style="59" customWidth="1"/>
    <col min="7198" max="7424" width="9.140625" style="59"/>
    <col min="7425" max="7425" width="155.28515625" style="59" customWidth="1"/>
    <col min="7426" max="7427" width="29.85546875" style="59" customWidth="1"/>
    <col min="7428" max="7428" width="26.7109375" style="59" customWidth="1"/>
    <col min="7429" max="7429" width="26.5703125" style="59" customWidth="1"/>
    <col min="7430" max="7430" width="25.7109375" style="59" customWidth="1"/>
    <col min="7431" max="7431" width="28.5703125" style="59" customWidth="1"/>
    <col min="7432" max="7432" width="27.7109375" style="59" customWidth="1"/>
    <col min="7433" max="7441" width="25.7109375" style="59" customWidth="1"/>
    <col min="7442" max="7442" width="29.7109375" style="59" customWidth="1"/>
    <col min="7443" max="7443" width="25.7109375" style="59" customWidth="1"/>
    <col min="7444" max="7444" width="44.7109375" style="59" customWidth="1"/>
    <col min="7445" max="7445" width="25.7109375" style="59" customWidth="1"/>
    <col min="7446" max="7446" width="32.140625" style="59" customWidth="1"/>
    <col min="7447" max="7447" width="38.28515625" style="59" customWidth="1"/>
    <col min="7448" max="7448" width="32.7109375" style="59" customWidth="1"/>
    <col min="7449" max="7449" width="61" style="59" customWidth="1"/>
    <col min="7450" max="7450" width="25.7109375" style="59" customWidth="1"/>
    <col min="7451" max="7451" width="206.85546875" style="59" customWidth="1"/>
    <col min="7452" max="7452" width="71.140625" style="59" customWidth="1"/>
    <col min="7453" max="7453" width="13.5703125" style="59" customWidth="1"/>
    <col min="7454" max="7680" width="9.140625" style="59"/>
    <col min="7681" max="7681" width="155.28515625" style="59" customWidth="1"/>
    <col min="7682" max="7683" width="29.85546875" style="59" customWidth="1"/>
    <col min="7684" max="7684" width="26.7109375" style="59" customWidth="1"/>
    <col min="7685" max="7685" width="26.5703125" style="59" customWidth="1"/>
    <col min="7686" max="7686" width="25.7109375" style="59" customWidth="1"/>
    <col min="7687" max="7687" width="28.5703125" style="59" customWidth="1"/>
    <col min="7688" max="7688" width="27.7109375" style="59" customWidth="1"/>
    <col min="7689" max="7697" width="25.7109375" style="59" customWidth="1"/>
    <col min="7698" max="7698" width="29.7109375" style="59" customWidth="1"/>
    <col min="7699" max="7699" width="25.7109375" style="59" customWidth="1"/>
    <col min="7700" max="7700" width="44.7109375" style="59" customWidth="1"/>
    <col min="7701" max="7701" width="25.7109375" style="59" customWidth="1"/>
    <col min="7702" max="7702" width="32.140625" style="59" customWidth="1"/>
    <col min="7703" max="7703" width="38.28515625" style="59" customWidth="1"/>
    <col min="7704" max="7704" width="32.7109375" style="59" customWidth="1"/>
    <col min="7705" max="7705" width="61" style="59" customWidth="1"/>
    <col min="7706" max="7706" width="25.7109375" style="59" customWidth="1"/>
    <col min="7707" max="7707" width="206.85546875" style="59" customWidth="1"/>
    <col min="7708" max="7708" width="71.140625" style="59" customWidth="1"/>
    <col min="7709" max="7709" width="13.5703125" style="59" customWidth="1"/>
    <col min="7710" max="7936" width="9.140625" style="59"/>
    <col min="7937" max="7937" width="155.28515625" style="59" customWidth="1"/>
    <col min="7938" max="7939" width="29.85546875" style="59" customWidth="1"/>
    <col min="7940" max="7940" width="26.7109375" style="59" customWidth="1"/>
    <col min="7941" max="7941" width="26.5703125" style="59" customWidth="1"/>
    <col min="7942" max="7942" width="25.7109375" style="59" customWidth="1"/>
    <col min="7943" max="7943" width="28.5703125" style="59" customWidth="1"/>
    <col min="7944" max="7944" width="27.7109375" style="59" customWidth="1"/>
    <col min="7945" max="7953" width="25.7109375" style="59" customWidth="1"/>
    <col min="7954" max="7954" width="29.7109375" style="59" customWidth="1"/>
    <col min="7955" max="7955" width="25.7109375" style="59" customWidth="1"/>
    <col min="7956" max="7956" width="44.7109375" style="59" customWidth="1"/>
    <col min="7957" max="7957" width="25.7109375" style="59" customWidth="1"/>
    <col min="7958" max="7958" width="32.140625" style="59" customWidth="1"/>
    <col min="7959" max="7959" width="38.28515625" style="59" customWidth="1"/>
    <col min="7960" max="7960" width="32.7109375" style="59" customWidth="1"/>
    <col min="7961" max="7961" width="61" style="59" customWidth="1"/>
    <col min="7962" max="7962" width="25.7109375" style="59" customWidth="1"/>
    <col min="7963" max="7963" width="206.85546875" style="59" customWidth="1"/>
    <col min="7964" max="7964" width="71.140625" style="59" customWidth="1"/>
    <col min="7965" max="7965" width="13.5703125" style="59" customWidth="1"/>
    <col min="7966" max="8192" width="9.140625" style="59"/>
    <col min="8193" max="8193" width="155.28515625" style="59" customWidth="1"/>
    <col min="8194" max="8195" width="29.85546875" style="59" customWidth="1"/>
    <col min="8196" max="8196" width="26.7109375" style="59" customWidth="1"/>
    <col min="8197" max="8197" width="26.5703125" style="59" customWidth="1"/>
    <col min="8198" max="8198" width="25.7109375" style="59" customWidth="1"/>
    <col min="8199" max="8199" width="28.5703125" style="59" customWidth="1"/>
    <col min="8200" max="8200" width="27.7109375" style="59" customWidth="1"/>
    <col min="8201" max="8209" width="25.7109375" style="59" customWidth="1"/>
    <col min="8210" max="8210" width="29.7109375" style="59" customWidth="1"/>
    <col min="8211" max="8211" width="25.7109375" style="59" customWidth="1"/>
    <col min="8212" max="8212" width="44.7109375" style="59" customWidth="1"/>
    <col min="8213" max="8213" width="25.7109375" style="59" customWidth="1"/>
    <col min="8214" max="8214" width="32.140625" style="59" customWidth="1"/>
    <col min="8215" max="8215" width="38.28515625" style="59" customWidth="1"/>
    <col min="8216" max="8216" width="32.7109375" style="59" customWidth="1"/>
    <col min="8217" max="8217" width="61" style="59" customWidth="1"/>
    <col min="8218" max="8218" width="25.7109375" style="59" customWidth="1"/>
    <col min="8219" max="8219" width="206.85546875" style="59" customWidth="1"/>
    <col min="8220" max="8220" width="71.140625" style="59" customWidth="1"/>
    <col min="8221" max="8221" width="13.5703125" style="59" customWidth="1"/>
    <col min="8222" max="8448" width="9.140625" style="59"/>
    <col min="8449" max="8449" width="155.28515625" style="59" customWidth="1"/>
    <col min="8450" max="8451" width="29.85546875" style="59" customWidth="1"/>
    <col min="8452" max="8452" width="26.7109375" style="59" customWidth="1"/>
    <col min="8453" max="8453" width="26.5703125" style="59" customWidth="1"/>
    <col min="8454" max="8454" width="25.7109375" style="59" customWidth="1"/>
    <col min="8455" max="8455" width="28.5703125" style="59" customWidth="1"/>
    <col min="8456" max="8456" width="27.7109375" style="59" customWidth="1"/>
    <col min="8457" max="8465" width="25.7109375" style="59" customWidth="1"/>
    <col min="8466" max="8466" width="29.7109375" style="59" customWidth="1"/>
    <col min="8467" max="8467" width="25.7109375" style="59" customWidth="1"/>
    <col min="8468" max="8468" width="44.7109375" style="59" customWidth="1"/>
    <col min="8469" max="8469" width="25.7109375" style="59" customWidth="1"/>
    <col min="8470" max="8470" width="32.140625" style="59" customWidth="1"/>
    <col min="8471" max="8471" width="38.28515625" style="59" customWidth="1"/>
    <col min="8472" max="8472" width="32.7109375" style="59" customWidth="1"/>
    <col min="8473" max="8473" width="61" style="59" customWidth="1"/>
    <col min="8474" max="8474" width="25.7109375" style="59" customWidth="1"/>
    <col min="8475" max="8475" width="206.85546875" style="59" customWidth="1"/>
    <col min="8476" max="8476" width="71.140625" style="59" customWidth="1"/>
    <col min="8477" max="8477" width="13.5703125" style="59" customWidth="1"/>
    <col min="8478" max="8704" width="9.140625" style="59"/>
    <col min="8705" max="8705" width="155.28515625" style="59" customWidth="1"/>
    <col min="8706" max="8707" width="29.85546875" style="59" customWidth="1"/>
    <col min="8708" max="8708" width="26.7109375" style="59" customWidth="1"/>
    <col min="8709" max="8709" width="26.5703125" style="59" customWidth="1"/>
    <col min="8710" max="8710" width="25.7109375" style="59" customWidth="1"/>
    <col min="8711" max="8711" width="28.5703125" style="59" customWidth="1"/>
    <col min="8712" max="8712" width="27.7109375" style="59" customWidth="1"/>
    <col min="8713" max="8721" width="25.7109375" style="59" customWidth="1"/>
    <col min="8722" max="8722" width="29.7109375" style="59" customWidth="1"/>
    <col min="8723" max="8723" width="25.7109375" style="59" customWidth="1"/>
    <col min="8724" max="8724" width="44.7109375" style="59" customWidth="1"/>
    <col min="8725" max="8725" width="25.7109375" style="59" customWidth="1"/>
    <col min="8726" max="8726" width="32.140625" style="59" customWidth="1"/>
    <col min="8727" max="8727" width="38.28515625" style="59" customWidth="1"/>
    <col min="8728" max="8728" width="32.7109375" style="59" customWidth="1"/>
    <col min="8729" max="8729" width="61" style="59" customWidth="1"/>
    <col min="8730" max="8730" width="25.7109375" style="59" customWidth="1"/>
    <col min="8731" max="8731" width="206.85546875" style="59" customWidth="1"/>
    <col min="8732" max="8732" width="71.140625" style="59" customWidth="1"/>
    <col min="8733" max="8733" width="13.5703125" style="59" customWidth="1"/>
    <col min="8734" max="8960" width="9.140625" style="59"/>
    <col min="8961" max="8961" width="155.28515625" style="59" customWidth="1"/>
    <col min="8962" max="8963" width="29.85546875" style="59" customWidth="1"/>
    <col min="8964" max="8964" width="26.7109375" style="59" customWidth="1"/>
    <col min="8965" max="8965" width="26.5703125" style="59" customWidth="1"/>
    <col min="8966" max="8966" width="25.7109375" style="59" customWidth="1"/>
    <col min="8967" max="8967" width="28.5703125" style="59" customWidth="1"/>
    <col min="8968" max="8968" width="27.7109375" style="59" customWidth="1"/>
    <col min="8969" max="8977" width="25.7109375" style="59" customWidth="1"/>
    <col min="8978" max="8978" width="29.7109375" style="59" customWidth="1"/>
    <col min="8979" max="8979" width="25.7109375" style="59" customWidth="1"/>
    <col min="8980" max="8980" width="44.7109375" style="59" customWidth="1"/>
    <col min="8981" max="8981" width="25.7109375" style="59" customWidth="1"/>
    <col min="8982" max="8982" width="32.140625" style="59" customWidth="1"/>
    <col min="8983" max="8983" width="38.28515625" style="59" customWidth="1"/>
    <col min="8984" max="8984" width="32.7109375" style="59" customWidth="1"/>
    <col min="8985" max="8985" width="61" style="59" customWidth="1"/>
    <col min="8986" max="8986" width="25.7109375" style="59" customWidth="1"/>
    <col min="8987" max="8987" width="206.85546875" style="59" customWidth="1"/>
    <col min="8988" max="8988" width="71.140625" style="59" customWidth="1"/>
    <col min="8989" max="8989" width="13.5703125" style="59" customWidth="1"/>
    <col min="8990" max="9216" width="9.140625" style="59"/>
    <col min="9217" max="9217" width="155.28515625" style="59" customWidth="1"/>
    <col min="9218" max="9219" width="29.85546875" style="59" customWidth="1"/>
    <col min="9220" max="9220" width="26.7109375" style="59" customWidth="1"/>
    <col min="9221" max="9221" width="26.5703125" style="59" customWidth="1"/>
    <col min="9222" max="9222" width="25.7109375" style="59" customWidth="1"/>
    <col min="9223" max="9223" width="28.5703125" style="59" customWidth="1"/>
    <col min="9224" max="9224" width="27.7109375" style="59" customWidth="1"/>
    <col min="9225" max="9233" width="25.7109375" style="59" customWidth="1"/>
    <col min="9234" max="9234" width="29.7109375" style="59" customWidth="1"/>
    <col min="9235" max="9235" width="25.7109375" style="59" customWidth="1"/>
    <col min="9236" max="9236" width="44.7109375" style="59" customWidth="1"/>
    <col min="9237" max="9237" width="25.7109375" style="59" customWidth="1"/>
    <col min="9238" max="9238" width="32.140625" style="59" customWidth="1"/>
    <col min="9239" max="9239" width="38.28515625" style="59" customWidth="1"/>
    <col min="9240" max="9240" width="32.7109375" style="59" customWidth="1"/>
    <col min="9241" max="9241" width="61" style="59" customWidth="1"/>
    <col min="9242" max="9242" width="25.7109375" style="59" customWidth="1"/>
    <col min="9243" max="9243" width="206.85546875" style="59" customWidth="1"/>
    <col min="9244" max="9244" width="71.140625" style="59" customWidth="1"/>
    <col min="9245" max="9245" width="13.5703125" style="59" customWidth="1"/>
    <col min="9246" max="9472" width="9.140625" style="59"/>
    <col min="9473" max="9473" width="155.28515625" style="59" customWidth="1"/>
    <col min="9474" max="9475" width="29.85546875" style="59" customWidth="1"/>
    <col min="9476" max="9476" width="26.7109375" style="59" customWidth="1"/>
    <col min="9477" max="9477" width="26.5703125" style="59" customWidth="1"/>
    <col min="9478" max="9478" width="25.7109375" style="59" customWidth="1"/>
    <col min="9479" max="9479" width="28.5703125" style="59" customWidth="1"/>
    <col min="9480" max="9480" width="27.7109375" style="59" customWidth="1"/>
    <col min="9481" max="9489" width="25.7109375" style="59" customWidth="1"/>
    <col min="9490" max="9490" width="29.7109375" style="59" customWidth="1"/>
    <col min="9491" max="9491" width="25.7109375" style="59" customWidth="1"/>
    <col min="9492" max="9492" width="44.7109375" style="59" customWidth="1"/>
    <col min="9493" max="9493" width="25.7109375" style="59" customWidth="1"/>
    <col min="9494" max="9494" width="32.140625" style="59" customWidth="1"/>
    <col min="9495" max="9495" width="38.28515625" style="59" customWidth="1"/>
    <col min="9496" max="9496" width="32.7109375" style="59" customWidth="1"/>
    <col min="9497" max="9497" width="61" style="59" customWidth="1"/>
    <col min="9498" max="9498" width="25.7109375" style="59" customWidth="1"/>
    <col min="9499" max="9499" width="206.85546875" style="59" customWidth="1"/>
    <col min="9500" max="9500" width="71.140625" style="59" customWidth="1"/>
    <col min="9501" max="9501" width="13.5703125" style="59" customWidth="1"/>
    <col min="9502" max="9728" width="9.140625" style="59"/>
    <col min="9729" max="9729" width="155.28515625" style="59" customWidth="1"/>
    <col min="9730" max="9731" width="29.85546875" style="59" customWidth="1"/>
    <col min="9732" max="9732" width="26.7109375" style="59" customWidth="1"/>
    <col min="9733" max="9733" width="26.5703125" style="59" customWidth="1"/>
    <col min="9734" max="9734" width="25.7109375" style="59" customWidth="1"/>
    <col min="9735" max="9735" width="28.5703125" style="59" customWidth="1"/>
    <col min="9736" max="9736" width="27.7109375" style="59" customWidth="1"/>
    <col min="9737" max="9745" width="25.7109375" style="59" customWidth="1"/>
    <col min="9746" max="9746" width="29.7109375" style="59" customWidth="1"/>
    <col min="9747" max="9747" width="25.7109375" style="59" customWidth="1"/>
    <col min="9748" max="9748" width="44.7109375" style="59" customWidth="1"/>
    <col min="9749" max="9749" width="25.7109375" style="59" customWidth="1"/>
    <col min="9750" max="9750" width="32.140625" style="59" customWidth="1"/>
    <col min="9751" max="9751" width="38.28515625" style="59" customWidth="1"/>
    <col min="9752" max="9752" width="32.7109375" style="59" customWidth="1"/>
    <col min="9753" max="9753" width="61" style="59" customWidth="1"/>
    <col min="9754" max="9754" width="25.7109375" style="59" customWidth="1"/>
    <col min="9755" max="9755" width="206.85546875" style="59" customWidth="1"/>
    <col min="9756" max="9756" width="71.140625" style="59" customWidth="1"/>
    <col min="9757" max="9757" width="13.5703125" style="59" customWidth="1"/>
    <col min="9758" max="9984" width="9.140625" style="59"/>
    <col min="9985" max="9985" width="155.28515625" style="59" customWidth="1"/>
    <col min="9986" max="9987" width="29.85546875" style="59" customWidth="1"/>
    <col min="9988" max="9988" width="26.7109375" style="59" customWidth="1"/>
    <col min="9989" max="9989" width="26.5703125" style="59" customWidth="1"/>
    <col min="9990" max="9990" width="25.7109375" style="59" customWidth="1"/>
    <col min="9991" max="9991" width="28.5703125" style="59" customWidth="1"/>
    <col min="9992" max="9992" width="27.7109375" style="59" customWidth="1"/>
    <col min="9993" max="10001" width="25.7109375" style="59" customWidth="1"/>
    <col min="10002" max="10002" width="29.7109375" style="59" customWidth="1"/>
    <col min="10003" max="10003" width="25.7109375" style="59" customWidth="1"/>
    <col min="10004" max="10004" width="44.7109375" style="59" customWidth="1"/>
    <col min="10005" max="10005" width="25.7109375" style="59" customWidth="1"/>
    <col min="10006" max="10006" width="32.140625" style="59" customWidth="1"/>
    <col min="10007" max="10007" width="38.28515625" style="59" customWidth="1"/>
    <col min="10008" max="10008" width="32.7109375" style="59" customWidth="1"/>
    <col min="10009" max="10009" width="61" style="59" customWidth="1"/>
    <col min="10010" max="10010" width="25.7109375" style="59" customWidth="1"/>
    <col min="10011" max="10011" width="206.85546875" style="59" customWidth="1"/>
    <col min="10012" max="10012" width="71.140625" style="59" customWidth="1"/>
    <col min="10013" max="10013" width="13.5703125" style="59" customWidth="1"/>
    <col min="10014" max="10240" width="9.140625" style="59"/>
    <col min="10241" max="10241" width="155.28515625" style="59" customWidth="1"/>
    <col min="10242" max="10243" width="29.85546875" style="59" customWidth="1"/>
    <col min="10244" max="10244" width="26.7109375" style="59" customWidth="1"/>
    <col min="10245" max="10245" width="26.5703125" style="59" customWidth="1"/>
    <col min="10246" max="10246" width="25.7109375" style="59" customWidth="1"/>
    <col min="10247" max="10247" width="28.5703125" style="59" customWidth="1"/>
    <col min="10248" max="10248" width="27.7109375" style="59" customWidth="1"/>
    <col min="10249" max="10257" width="25.7109375" style="59" customWidth="1"/>
    <col min="10258" max="10258" width="29.7109375" style="59" customWidth="1"/>
    <col min="10259" max="10259" width="25.7109375" style="59" customWidth="1"/>
    <col min="10260" max="10260" width="44.7109375" style="59" customWidth="1"/>
    <col min="10261" max="10261" width="25.7109375" style="59" customWidth="1"/>
    <col min="10262" max="10262" width="32.140625" style="59" customWidth="1"/>
    <col min="10263" max="10263" width="38.28515625" style="59" customWidth="1"/>
    <col min="10264" max="10264" width="32.7109375" style="59" customWidth="1"/>
    <col min="10265" max="10265" width="61" style="59" customWidth="1"/>
    <col min="10266" max="10266" width="25.7109375" style="59" customWidth="1"/>
    <col min="10267" max="10267" width="206.85546875" style="59" customWidth="1"/>
    <col min="10268" max="10268" width="71.140625" style="59" customWidth="1"/>
    <col min="10269" max="10269" width="13.5703125" style="59" customWidth="1"/>
    <col min="10270" max="10496" width="9.140625" style="59"/>
    <col min="10497" max="10497" width="155.28515625" style="59" customWidth="1"/>
    <col min="10498" max="10499" width="29.85546875" style="59" customWidth="1"/>
    <col min="10500" max="10500" width="26.7109375" style="59" customWidth="1"/>
    <col min="10501" max="10501" width="26.5703125" style="59" customWidth="1"/>
    <col min="10502" max="10502" width="25.7109375" style="59" customWidth="1"/>
    <col min="10503" max="10503" width="28.5703125" style="59" customWidth="1"/>
    <col min="10504" max="10504" width="27.7109375" style="59" customWidth="1"/>
    <col min="10505" max="10513" width="25.7109375" style="59" customWidth="1"/>
    <col min="10514" max="10514" width="29.7109375" style="59" customWidth="1"/>
    <col min="10515" max="10515" width="25.7109375" style="59" customWidth="1"/>
    <col min="10516" max="10516" width="44.7109375" style="59" customWidth="1"/>
    <col min="10517" max="10517" width="25.7109375" style="59" customWidth="1"/>
    <col min="10518" max="10518" width="32.140625" style="59" customWidth="1"/>
    <col min="10519" max="10519" width="38.28515625" style="59" customWidth="1"/>
    <col min="10520" max="10520" width="32.7109375" style="59" customWidth="1"/>
    <col min="10521" max="10521" width="61" style="59" customWidth="1"/>
    <col min="10522" max="10522" width="25.7109375" style="59" customWidth="1"/>
    <col min="10523" max="10523" width="206.85546875" style="59" customWidth="1"/>
    <col min="10524" max="10524" width="71.140625" style="59" customWidth="1"/>
    <col min="10525" max="10525" width="13.5703125" style="59" customWidth="1"/>
    <col min="10526" max="10752" width="9.140625" style="59"/>
    <col min="10753" max="10753" width="155.28515625" style="59" customWidth="1"/>
    <col min="10754" max="10755" width="29.85546875" style="59" customWidth="1"/>
    <col min="10756" max="10756" width="26.7109375" style="59" customWidth="1"/>
    <col min="10757" max="10757" width="26.5703125" style="59" customWidth="1"/>
    <col min="10758" max="10758" width="25.7109375" style="59" customWidth="1"/>
    <col min="10759" max="10759" width="28.5703125" style="59" customWidth="1"/>
    <col min="10760" max="10760" width="27.7109375" style="59" customWidth="1"/>
    <col min="10761" max="10769" width="25.7109375" style="59" customWidth="1"/>
    <col min="10770" max="10770" width="29.7109375" style="59" customWidth="1"/>
    <col min="10771" max="10771" width="25.7109375" style="59" customWidth="1"/>
    <col min="10772" max="10772" width="44.7109375" style="59" customWidth="1"/>
    <col min="10773" max="10773" width="25.7109375" style="59" customWidth="1"/>
    <col min="10774" max="10774" width="32.140625" style="59" customWidth="1"/>
    <col min="10775" max="10775" width="38.28515625" style="59" customWidth="1"/>
    <col min="10776" max="10776" width="32.7109375" style="59" customWidth="1"/>
    <col min="10777" max="10777" width="61" style="59" customWidth="1"/>
    <col min="10778" max="10778" width="25.7109375" style="59" customWidth="1"/>
    <col min="10779" max="10779" width="206.85546875" style="59" customWidth="1"/>
    <col min="10780" max="10780" width="71.140625" style="59" customWidth="1"/>
    <col min="10781" max="10781" width="13.5703125" style="59" customWidth="1"/>
    <col min="10782" max="11008" width="9.140625" style="59"/>
    <col min="11009" max="11009" width="155.28515625" style="59" customWidth="1"/>
    <col min="11010" max="11011" width="29.85546875" style="59" customWidth="1"/>
    <col min="11012" max="11012" width="26.7109375" style="59" customWidth="1"/>
    <col min="11013" max="11013" width="26.5703125" style="59" customWidth="1"/>
    <col min="11014" max="11014" width="25.7109375" style="59" customWidth="1"/>
    <col min="11015" max="11015" width="28.5703125" style="59" customWidth="1"/>
    <col min="11016" max="11016" width="27.7109375" style="59" customWidth="1"/>
    <col min="11017" max="11025" width="25.7109375" style="59" customWidth="1"/>
    <col min="11026" max="11026" width="29.7109375" style="59" customWidth="1"/>
    <col min="11027" max="11027" width="25.7109375" style="59" customWidth="1"/>
    <col min="11028" max="11028" width="44.7109375" style="59" customWidth="1"/>
    <col min="11029" max="11029" width="25.7109375" style="59" customWidth="1"/>
    <col min="11030" max="11030" width="32.140625" style="59" customWidth="1"/>
    <col min="11031" max="11031" width="38.28515625" style="59" customWidth="1"/>
    <col min="11032" max="11032" width="32.7109375" style="59" customWidth="1"/>
    <col min="11033" max="11033" width="61" style="59" customWidth="1"/>
    <col min="11034" max="11034" width="25.7109375" style="59" customWidth="1"/>
    <col min="11035" max="11035" width="206.85546875" style="59" customWidth="1"/>
    <col min="11036" max="11036" width="71.140625" style="59" customWidth="1"/>
    <col min="11037" max="11037" width="13.5703125" style="59" customWidth="1"/>
    <col min="11038" max="11264" width="9.140625" style="59"/>
    <col min="11265" max="11265" width="155.28515625" style="59" customWidth="1"/>
    <col min="11266" max="11267" width="29.85546875" style="59" customWidth="1"/>
    <col min="11268" max="11268" width="26.7109375" style="59" customWidth="1"/>
    <col min="11269" max="11269" width="26.5703125" style="59" customWidth="1"/>
    <col min="11270" max="11270" width="25.7109375" style="59" customWidth="1"/>
    <col min="11271" max="11271" width="28.5703125" style="59" customWidth="1"/>
    <col min="11272" max="11272" width="27.7109375" style="59" customWidth="1"/>
    <col min="11273" max="11281" width="25.7109375" style="59" customWidth="1"/>
    <col min="11282" max="11282" width="29.7109375" style="59" customWidth="1"/>
    <col min="11283" max="11283" width="25.7109375" style="59" customWidth="1"/>
    <col min="11284" max="11284" width="44.7109375" style="59" customWidth="1"/>
    <col min="11285" max="11285" width="25.7109375" style="59" customWidth="1"/>
    <col min="11286" max="11286" width="32.140625" style="59" customWidth="1"/>
    <col min="11287" max="11287" width="38.28515625" style="59" customWidth="1"/>
    <col min="11288" max="11288" width="32.7109375" style="59" customWidth="1"/>
    <col min="11289" max="11289" width="61" style="59" customWidth="1"/>
    <col min="11290" max="11290" width="25.7109375" style="59" customWidth="1"/>
    <col min="11291" max="11291" width="206.85546875" style="59" customWidth="1"/>
    <col min="11292" max="11292" width="71.140625" style="59" customWidth="1"/>
    <col min="11293" max="11293" width="13.5703125" style="59" customWidth="1"/>
    <col min="11294" max="11520" width="9.140625" style="59"/>
    <col min="11521" max="11521" width="155.28515625" style="59" customWidth="1"/>
    <col min="11522" max="11523" width="29.85546875" style="59" customWidth="1"/>
    <col min="11524" max="11524" width="26.7109375" style="59" customWidth="1"/>
    <col min="11525" max="11525" width="26.5703125" style="59" customWidth="1"/>
    <col min="11526" max="11526" width="25.7109375" style="59" customWidth="1"/>
    <col min="11527" max="11527" width="28.5703125" style="59" customWidth="1"/>
    <col min="11528" max="11528" width="27.7109375" style="59" customWidth="1"/>
    <col min="11529" max="11537" width="25.7109375" style="59" customWidth="1"/>
    <col min="11538" max="11538" width="29.7109375" style="59" customWidth="1"/>
    <col min="11539" max="11539" width="25.7109375" style="59" customWidth="1"/>
    <col min="11540" max="11540" width="44.7109375" style="59" customWidth="1"/>
    <col min="11541" max="11541" width="25.7109375" style="59" customWidth="1"/>
    <col min="11542" max="11542" width="32.140625" style="59" customWidth="1"/>
    <col min="11543" max="11543" width="38.28515625" style="59" customWidth="1"/>
    <col min="11544" max="11544" width="32.7109375" style="59" customWidth="1"/>
    <col min="11545" max="11545" width="61" style="59" customWidth="1"/>
    <col min="11546" max="11546" width="25.7109375" style="59" customWidth="1"/>
    <col min="11547" max="11547" width="206.85546875" style="59" customWidth="1"/>
    <col min="11548" max="11548" width="71.140625" style="59" customWidth="1"/>
    <col min="11549" max="11549" width="13.5703125" style="59" customWidth="1"/>
    <col min="11550" max="11776" width="9.140625" style="59"/>
    <col min="11777" max="11777" width="155.28515625" style="59" customWidth="1"/>
    <col min="11778" max="11779" width="29.85546875" style="59" customWidth="1"/>
    <col min="11780" max="11780" width="26.7109375" style="59" customWidth="1"/>
    <col min="11781" max="11781" width="26.5703125" style="59" customWidth="1"/>
    <col min="11782" max="11782" width="25.7109375" style="59" customWidth="1"/>
    <col min="11783" max="11783" width="28.5703125" style="59" customWidth="1"/>
    <col min="11784" max="11784" width="27.7109375" style="59" customWidth="1"/>
    <col min="11785" max="11793" width="25.7109375" style="59" customWidth="1"/>
    <col min="11794" max="11794" width="29.7109375" style="59" customWidth="1"/>
    <col min="11795" max="11795" width="25.7109375" style="59" customWidth="1"/>
    <col min="11796" max="11796" width="44.7109375" style="59" customWidth="1"/>
    <col min="11797" max="11797" width="25.7109375" style="59" customWidth="1"/>
    <col min="11798" max="11798" width="32.140625" style="59" customWidth="1"/>
    <col min="11799" max="11799" width="38.28515625" style="59" customWidth="1"/>
    <col min="11800" max="11800" width="32.7109375" style="59" customWidth="1"/>
    <col min="11801" max="11801" width="61" style="59" customWidth="1"/>
    <col min="11802" max="11802" width="25.7109375" style="59" customWidth="1"/>
    <col min="11803" max="11803" width="206.85546875" style="59" customWidth="1"/>
    <col min="11804" max="11804" width="71.140625" style="59" customWidth="1"/>
    <col min="11805" max="11805" width="13.5703125" style="59" customWidth="1"/>
    <col min="11806" max="12032" width="9.140625" style="59"/>
    <col min="12033" max="12033" width="155.28515625" style="59" customWidth="1"/>
    <col min="12034" max="12035" width="29.85546875" style="59" customWidth="1"/>
    <col min="12036" max="12036" width="26.7109375" style="59" customWidth="1"/>
    <col min="12037" max="12037" width="26.5703125" style="59" customWidth="1"/>
    <col min="12038" max="12038" width="25.7109375" style="59" customWidth="1"/>
    <col min="12039" max="12039" width="28.5703125" style="59" customWidth="1"/>
    <col min="12040" max="12040" width="27.7109375" style="59" customWidth="1"/>
    <col min="12041" max="12049" width="25.7109375" style="59" customWidth="1"/>
    <col min="12050" max="12050" width="29.7109375" style="59" customWidth="1"/>
    <col min="12051" max="12051" width="25.7109375" style="59" customWidth="1"/>
    <col min="12052" max="12052" width="44.7109375" style="59" customWidth="1"/>
    <col min="12053" max="12053" width="25.7109375" style="59" customWidth="1"/>
    <col min="12054" max="12054" width="32.140625" style="59" customWidth="1"/>
    <col min="12055" max="12055" width="38.28515625" style="59" customWidth="1"/>
    <col min="12056" max="12056" width="32.7109375" style="59" customWidth="1"/>
    <col min="12057" max="12057" width="61" style="59" customWidth="1"/>
    <col min="12058" max="12058" width="25.7109375" style="59" customWidth="1"/>
    <col min="12059" max="12059" width="206.85546875" style="59" customWidth="1"/>
    <col min="12060" max="12060" width="71.140625" style="59" customWidth="1"/>
    <col min="12061" max="12061" width="13.5703125" style="59" customWidth="1"/>
    <col min="12062" max="12288" width="9.140625" style="59"/>
    <col min="12289" max="12289" width="155.28515625" style="59" customWidth="1"/>
    <col min="12290" max="12291" width="29.85546875" style="59" customWidth="1"/>
    <col min="12292" max="12292" width="26.7109375" style="59" customWidth="1"/>
    <col min="12293" max="12293" width="26.5703125" style="59" customWidth="1"/>
    <col min="12294" max="12294" width="25.7109375" style="59" customWidth="1"/>
    <col min="12295" max="12295" width="28.5703125" style="59" customWidth="1"/>
    <col min="12296" max="12296" width="27.7109375" style="59" customWidth="1"/>
    <col min="12297" max="12305" width="25.7109375" style="59" customWidth="1"/>
    <col min="12306" max="12306" width="29.7109375" style="59" customWidth="1"/>
    <col min="12307" max="12307" width="25.7109375" style="59" customWidth="1"/>
    <col min="12308" max="12308" width="44.7109375" style="59" customWidth="1"/>
    <col min="12309" max="12309" width="25.7109375" style="59" customWidth="1"/>
    <col min="12310" max="12310" width="32.140625" style="59" customWidth="1"/>
    <col min="12311" max="12311" width="38.28515625" style="59" customWidth="1"/>
    <col min="12312" max="12312" width="32.7109375" style="59" customWidth="1"/>
    <col min="12313" max="12313" width="61" style="59" customWidth="1"/>
    <col min="12314" max="12314" width="25.7109375" style="59" customWidth="1"/>
    <col min="12315" max="12315" width="206.85546875" style="59" customWidth="1"/>
    <col min="12316" max="12316" width="71.140625" style="59" customWidth="1"/>
    <col min="12317" max="12317" width="13.5703125" style="59" customWidth="1"/>
    <col min="12318" max="12544" width="9.140625" style="59"/>
    <col min="12545" max="12545" width="155.28515625" style="59" customWidth="1"/>
    <col min="12546" max="12547" width="29.85546875" style="59" customWidth="1"/>
    <col min="12548" max="12548" width="26.7109375" style="59" customWidth="1"/>
    <col min="12549" max="12549" width="26.5703125" style="59" customWidth="1"/>
    <col min="12550" max="12550" width="25.7109375" style="59" customWidth="1"/>
    <col min="12551" max="12551" width="28.5703125" style="59" customWidth="1"/>
    <col min="12552" max="12552" width="27.7109375" style="59" customWidth="1"/>
    <col min="12553" max="12561" width="25.7109375" style="59" customWidth="1"/>
    <col min="12562" max="12562" width="29.7109375" style="59" customWidth="1"/>
    <col min="12563" max="12563" width="25.7109375" style="59" customWidth="1"/>
    <col min="12564" max="12564" width="44.7109375" style="59" customWidth="1"/>
    <col min="12565" max="12565" width="25.7109375" style="59" customWidth="1"/>
    <col min="12566" max="12566" width="32.140625" style="59" customWidth="1"/>
    <col min="12567" max="12567" width="38.28515625" style="59" customWidth="1"/>
    <col min="12568" max="12568" width="32.7109375" style="59" customWidth="1"/>
    <col min="12569" max="12569" width="61" style="59" customWidth="1"/>
    <col min="12570" max="12570" width="25.7109375" style="59" customWidth="1"/>
    <col min="12571" max="12571" width="206.85546875" style="59" customWidth="1"/>
    <col min="12572" max="12572" width="71.140625" style="59" customWidth="1"/>
    <col min="12573" max="12573" width="13.5703125" style="59" customWidth="1"/>
    <col min="12574" max="12800" width="9.140625" style="59"/>
    <col min="12801" max="12801" width="155.28515625" style="59" customWidth="1"/>
    <col min="12802" max="12803" width="29.85546875" style="59" customWidth="1"/>
    <col min="12804" max="12804" width="26.7109375" style="59" customWidth="1"/>
    <col min="12805" max="12805" width="26.5703125" style="59" customWidth="1"/>
    <col min="12806" max="12806" width="25.7109375" style="59" customWidth="1"/>
    <col min="12807" max="12807" width="28.5703125" style="59" customWidth="1"/>
    <col min="12808" max="12808" width="27.7109375" style="59" customWidth="1"/>
    <col min="12809" max="12817" width="25.7109375" style="59" customWidth="1"/>
    <col min="12818" max="12818" width="29.7109375" style="59" customWidth="1"/>
    <col min="12819" max="12819" width="25.7109375" style="59" customWidth="1"/>
    <col min="12820" max="12820" width="44.7109375" style="59" customWidth="1"/>
    <col min="12821" max="12821" width="25.7109375" style="59" customWidth="1"/>
    <col min="12822" max="12822" width="32.140625" style="59" customWidth="1"/>
    <col min="12823" max="12823" width="38.28515625" style="59" customWidth="1"/>
    <col min="12824" max="12824" width="32.7109375" style="59" customWidth="1"/>
    <col min="12825" max="12825" width="61" style="59" customWidth="1"/>
    <col min="12826" max="12826" width="25.7109375" style="59" customWidth="1"/>
    <col min="12827" max="12827" width="206.85546875" style="59" customWidth="1"/>
    <col min="12828" max="12828" width="71.140625" style="59" customWidth="1"/>
    <col min="12829" max="12829" width="13.5703125" style="59" customWidth="1"/>
    <col min="12830" max="13056" width="9.140625" style="59"/>
    <col min="13057" max="13057" width="155.28515625" style="59" customWidth="1"/>
    <col min="13058" max="13059" width="29.85546875" style="59" customWidth="1"/>
    <col min="13060" max="13060" width="26.7109375" style="59" customWidth="1"/>
    <col min="13061" max="13061" width="26.5703125" style="59" customWidth="1"/>
    <col min="13062" max="13062" width="25.7109375" style="59" customWidth="1"/>
    <col min="13063" max="13063" width="28.5703125" style="59" customWidth="1"/>
    <col min="13064" max="13064" width="27.7109375" style="59" customWidth="1"/>
    <col min="13065" max="13073" width="25.7109375" style="59" customWidth="1"/>
    <col min="13074" max="13074" width="29.7109375" style="59" customWidth="1"/>
    <col min="13075" max="13075" width="25.7109375" style="59" customWidth="1"/>
    <col min="13076" max="13076" width="44.7109375" style="59" customWidth="1"/>
    <col min="13077" max="13077" width="25.7109375" style="59" customWidth="1"/>
    <col min="13078" max="13078" width="32.140625" style="59" customWidth="1"/>
    <col min="13079" max="13079" width="38.28515625" style="59" customWidth="1"/>
    <col min="13080" max="13080" width="32.7109375" style="59" customWidth="1"/>
    <col min="13081" max="13081" width="61" style="59" customWidth="1"/>
    <col min="13082" max="13082" width="25.7109375" style="59" customWidth="1"/>
    <col min="13083" max="13083" width="206.85546875" style="59" customWidth="1"/>
    <col min="13084" max="13084" width="71.140625" style="59" customWidth="1"/>
    <col min="13085" max="13085" width="13.5703125" style="59" customWidth="1"/>
    <col min="13086" max="13312" width="9.140625" style="59"/>
    <col min="13313" max="13313" width="155.28515625" style="59" customWidth="1"/>
    <col min="13314" max="13315" width="29.85546875" style="59" customWidth="1"/>
    <col min="13316" max="13316" width="26.7109375" style="59" customWidth="1"/>
    <col min="13317" max="13317" width="26.5703125" style="59" customWidth="1"/>
    <col min="13318" max="13318" width="25.7109375" style="59" customWidth="1"/>
    <col min="13319" max="13319" width="28.5703125" style="59" customWidth="1"/>
    <col min="13320" max="13320" width="27.7109375" style="59" customWidth="1"/>
    <col min="13321" max="13329" width="25.7109375" style="59" customWidth="1"/>
    <col min="13330" max="13330" width="29.7109375" style="59" customWidth="1"/>
    <col min="13331" max="13331" width="25.7109375" style="59" customWidth="1"/>
    <col min="13332" max="13332" width="44.7109375" style="59" customWidth="1"/>
    <col min="13333" max="13333" width="25.7109375" style="59" customWidth="1"/>
    <col min="13334" max="13334" width="32.140625" style="59" customWidth="1"/>
    <col min="13335" max="13335" width="38.28515625" style="59" customWidth="1"/>
    <col min="13336" max="13336" width="32.7109375" style="59" customWidth="1"/>
    <col min="13337" max="13337" width="61" style="59" customWidth="1"/>
    <col min="13338" max="13338" width="25.7109375" style="59" customWidth="1"/>
    <col min="13339" max="13339" width="206.85546875" style="59" customWidth="1"/>
    <col min="13340" max="13340" width="71.140625" style="59" customWidth="1"/>
    <col min="13341" max="13341" width="13.5703125" style="59" customWidth="1"/>
    <col min="13342" max="13568" width="9.140625" style="59"/>
    <col min="13569" max="13569" width="155.28515625" style="59" customWidth="1"/>
    <col min="13570" max="13571" width="29.85546875" style="59" customWidth="1"/>
    <col min="13572" max="13572" width="26.7109375" style="59" customWidth="1"/>
    <col min="13573" max="13573" width="26.5703125" style="59" customWidth="1"/>
    <col min="13574" max="13574" width="25.7109375" style="59" customWidth="1"/>
    <col min="13575" max="13575" width="28.5703125" style="59" customWidth="1"/>
    <col min="13576" max="13576" width="27.7109375" style="59" customWidth="1"/>
    <col min="13577" max="13585" width="25.7109375" style="59" customWidth="1"/>
    <col min="13586" max="13586" width="29.7109375" style="59" customWidth="1"/>
    <col min="13587" max="13587" width="25.7109375" style="59" customWidth="1"/>
    <col min="13588" max="13588" width="44.7109375" style="59" customWidth="1"/>
    <col min="13589" max="13589" width="25.7109375" style="59" customWidth="1"/>
    <col min="13590" max="13590" width="32.140625" style="59" customWidth="1"/>
    <col min="13591" max="13591" width="38.28515625" style="59" customWidth="1"/>
    <col min="13592" max="13592" width="32.7109375" style="59" customWidth="1"/>
    <col min="13593" max="13593" width="61" style="59" customWidth="1"/>
    <col min="13594" max="13594" width="25.7109375" style="59" customWidth="1"/>
    <col min="13595" max="13595" width="206.85546875" style="59" customWidth="1"/>
    <col min="13596" max="13596" width="71.140625" style="59" customWidth="1"/>
    <col min="13597" max="13597" width="13.5703125" style="59" customWidth="1"/>
    <col min="13598" max="13824" width="9.140625" style="59"/>
    <col min="13825" max="13825" width="155.28515625" style="59" customWidth="1"/>
    <col min="13826" max="13827" width="29.85546875" style="59" customWidth="1"/>
    <col min="13828" max="13828" width="26.7109375" style="59" customWidth="1"/>
    <col min="13829" max="13829" width="26.5703125" style="59" customWidth="1"/>
    <col min="13830" max="13830" width="25.7109375" style="59" customWidth="1"/>
    <col min="13831" max="13831" width="28.5703125" style="59" customWidth="1"/>
    <col min="13832" max="13832" width="27.7109375" style="59" customWidth="1"/>
    <col min="13833" max="13841" width="25.7109375" style="59" customWidth="1"/>
    <col min="13842" max="13842" width="29.7109375" style="59" customWidth="1"/>
    <col min="13843" max="13843" width="25.7109375" style="59" customWidth="1"/>
    <col min="13844" max="13844" width="44.7109375" style="59" customWidth="1"/>
    <col min="13845" max="13845" width="25.7109375" style="59" customWidth="1"/>
    <col min="13846" max="13846" width="32.140625" style="59" customWidth="1"/>
    <col min="13847" max="13847" width="38.28515625" style="59" customWidth="1"/>
    <col min="13848" max="13848" width="32.7109375" style="59" customWidth="1"/>
    <col min="13849" max="13849" width="61" style="59" customWidth="1"/>
    <col min="13850" max="13850" width="25.7109375" style="59" customWidth="1"/>
    <col min="13851" max="13851" width="206.85546875" style="59" customWidth="1"/>
    <col min="13852" max="13852" width="71.140625" style="59" customWidth="1"/>
    <col min="13853" max="13853" width="13.5703125" style="59" customWidth="1"/>
    <col min="13854" max="14080" width="9.140625" style="59"/>
    <col min="14081" max="14081" width="155.28515625" style="59" customWidth="1"/>
    <col min="14082" max="14083" width="29.85546875" style="59" customWidth="1"/>
    <col min="14084" max="14084" width="26.7109375" style="59" customWidth="1"/>
    <col min="14085" max="14085" width="26.5703125" style="59" customWidth="1"/>
    <col min="14086" max="14086" width="25.7109375" style="59" customWidth="1"/>
    <col min="14087" max="14087" width="28.5703125" style="59" customWidth="1"/>
    <col min="14088" max="14088" width="27.7109375" style="59" customWidth="1"/>
    <col min="14089" max="14097" width="25.7109375" style="59" customWidth="1"/>
    <col min="14098" max="14098" width="29.7109375" style="59" customWidth="1"/>
    <col min="14099" max="14099" width="25.7109375" style="59" customWidth="1"/>
    <col min="14100" max="14100" width="44.7109375" style="59" customWidth="1"/>
    <col min="14101" max="14101" width="25.7109375" style="59" customWidth="1"/>
    <col min="14102" max="14102" width="32.140625" style="59" customWidth="1"/>
    <col min="14103" max="14103" width="38.28515625" style="59" customWidth="1"/>
    <col min="14104" max="14104" width="32.7109375" style="59" customWidth="1"/>
    <col min="14105" max="14105" width="61" style="59" customWidth="1"/>
    <col min="14106" max="14106" width="25.7109375" style="59" customWidth="1"/>
    <col min="14107" max="14107" width="206.85546875" style="59" customWidth="1"/>
    <col min="14108" max="14108" width="71.140625" style="59" customWidth="1"/>
    <col min="14109" max="14109" width="13.5703125" style="59" customWidth="1"/>
    <col min="14110" max="14336" width="9.140625" style="59"/>
    <col min="14337" max="14337" width="155.28515625" style="59" customWidth="1"/>
    <col min="14338" max="14339" width="29.85546875" style="59" customWidth="1"/>
    <col min="14340" max="14340" width="26.7109375" style="59" customWidth="1"/>
    <col min="14341" max="14341" width="26.5703125" style="59" customWidth="1"/>
    <col min="14342" max="14342" width="25.7109375" style="59" customWidth="1"/>
    <col min="14343" max="14343" width="28.5703125" style="59" customWidth="1"/>
    <col min="14344" max="14344" width="27.7109375" style="59" customWidth="1"/>
    <col min="14345" max="14353" width="25.7109375" style="59" customWidth="1"/>
    <col min="14354" max="14354" width="29.7109375" style="59" customWidth="1"/>
    <col min="14355" max="14355" width="25.7109375" style="59" customWidth="1"/>
    <col min="14356" max="14356" width="44.7109375" style="59" customWidth="1"/>
    <col min="14357" max="14357" width="25.7109375" style="59" customWidth="1"/>
    <col min="14358" max="14358" width="32.140625" style="59" customWidth="1"/>
    <col min="14359" max="14359" width="38.28515625" style="59" customWidth="1"/>
    <col min="14360" max="14360" width="32.7109375" style="59" customWidth="1"/>
    <col min="14361" max="14361" width="61" style="59" customWidth="1"/>
    <col min="14362" max="14362" width="25.7109375" style="59" customWidth="1"/>
    <col min="14363" max="14363" width="206.85546875" style="59" customWidth="1"/>
    <col min="14364" max="14364" width="71.140625" style="59" customWidth="1"/>
    <col min="14365" max="14365" width="13.5703125" style="59" customWidth="1"/>
    <col min="14366" max="14592" width="9.140625" style="59"/>
    <col min="14593" max="14593" width="155.28515625" style="59" customWidth="1"/>
    <col min="14594" max="14595" width="29.85546875" style="59" customWidth="1"/>
    <col min="14596" max="14596" width="26.7109375" style="59" customWidth="1"/>
    <col min="14597" max="14597" width="26.5703125" style="59" customWidth="1"/>
    <col min="14598" max="14598" width="25.7109375" style="59" customWidth="1"/>
    <col min="14599" max="14599" width="28.5703125" style="59" customWidth="1"/>
    <col min="14600" max="14600" width="27.7109375" style="59" customWidth="1"/>
    <col min="14601" max="14609" width="25.7109375" style="59" customWidth="1"/>
    <col min="14610" max="14610" width="29.7109375" style="59" customWidth="1"/>
    <col min="14611" max="14611" width="25.7109375" style="59" customWidth="1"/>
    <col min="14612" max="14612" width="44.7109375" style="59" customWidth="1"/>
    <col min="14613" max="14613" width="25.7109375" style="59" customWidth="1"/>
    <col min="14614" max="14614" width="32.140625" style="59" customWidth="1"/>
    <col min="14615" max="14615" width="38.28515625" style="59" customWidth="1"/>
    <col min="14616" max="14616" width="32.7109375" style="59" customWidth="1"/>
    <col min="14617" max="14617" width="61" style="59" customWidth="1"/>
    <col min="14618" max="14618" width="25.7109375" style="59" customWidth="1"/>
    <col min="14619" max="14619" width="206.85546875" style="59" customWidth="1"/>
    <col min="14620" max="14620" width="71.140625" style="59" customWidth="1"/>
    <col min="14621" max="14621" width="13.5703125" style="59" customWidth="1"/>
    <col min="14622" max="14848" width="9.140625" style="59"/>
    <col min="14849" max="14849" width="155.28515625" style="59" customWidth="1"/>
    <col min="14850" max="14851" width="29.85546875" style="59" customWidth="1"/>
    <col min="14852" max="14852" width="26.7109375" style="59" customWidth="1"/>
    <col min="14853" max="14853" width="26.5703125" style="59" customWidth="1"/>
    <col min="14854" max="14854" width="25.7109375" style="59" customWidth="1"/>
    <col min="14855" max="14855" width="28.5703125" style="59" customWidth="1"/>
    <col min="14856" max="14856" width="27.7109375" style="59" customWidth="1"/>
    <col min="14857" max="14865" width="25.7109375" style="59" customWidth="1"/>
    <col min="14866" max="14866" width="29.7109375" style="59" customWidth="1"/>
    <col min="14867" max="14867" width="25.7109375" style="59" customWidth="1"/>
    <col min="14868" max="14868" width="44.7109375" style="59" customWidth="1"/>
    <col min="14869" max="14869" width="25.7109375" style="59" customWidth="1"/>
    <col min="14870" max="14870" width="32.140625" style="59" customWidth="1"/>
    <col min="14871" max="14871" width="38.28515625" style="59" customWidth="1"/>
    <col min="14872" max="14872" width="32.7109375" style="59" customWidth="1"/>
    <col min="14873" max="14873" width="61" style="59" customWidth="1"/>
    <col min="14874" max="14874" width="25.7109375" style="59" customWidth="1"/>
    <col min="14875" max="14875" width="206.85546875" style="59" customWidth="1"/>
    <col min="14876" max="14876" width="71.140625" style="59" customWidth="1"/>
    <col min="14877" max="14877" width="13.5703125" style="59" customWidth="1"/>
    <col min="14878" max="15104" width="9.140625" style="59"/>
    <col min="15105" max="15105" width="155.28515625" style="59" customWidth="1"/>
    <col min="15106" max="15107" width="29.85546875" style="59" customWidth="1"/>
    <col min="15108" max="15108" width="26.7109375" style="59" customWidth="1"/>
    <col min="15109" max="15109" width="26.5703125" style="59" customWidth="1"/>
    <col min="15110" max="15110" width="25.7109375" style="59" customWidth="1"/>
    <col min="15111" max="15111" width="28.5703125" style="59" customWidth="1"/>
    <col min="15112" max="15112" width="27.7109375" style="59" customWidth="1"/>
    <col min="15113" max="15121" width="25.7109375" style="59" customWidth="1"/>
    <col min="15122" max="15122" width="29.7109375" style="59" customWidth="1"/>
    <col min="15123" max="15123" width="25.7109375" style="59" customWidth="1"/>
    <col min="15124" max="15124" width="44.7109375" style="59" customWidth="1"/>
    <col min="15125" max="15125" width="25.7109375" style="59" customWidth="1"/>
    <col min="15126" max="15126" width="32.140625" style="59" customWidth="1"/>
    <col min="15127" max="15127" width="38.28515625" style="59" customWidth="1"/>
    <col min="15128" max="15128" width="32.7109375" style="59" customWidth="1"/>
    <col min="15129" max="15129" width="61" style="59" customWidth="1"/>
    <col min="15130" max="15130" width="25.7109375" style="59" customWidth="1"/>
    <col min="15131" max="15131" width="206.85546875" style="59" customWidth="1"/>
    <col min="15132" max="15132" width="71.140625" style="59" customWidth="1"/>
    <col min="15133" max="15133" width="13.5703125" style="59" customWidth="1"/>
    <col min="15134" max="15360" width="9.140625" style="59"/>
    <col min="15361" max="15361" width="155.28515625" style="59" customWidth="1"/>
    <col min="15362" max="15363" width="29.85546875" style="59" customWidth="1"/>
    <col min="15364" max="15364" width="26.7109375" style="59" customWidth="1"/>
    <col min="15365" max="15365" width="26.5703125" style="59" customWidth="1"/>
    <col min="15366" max="15366" width="25.7109375" style="59" customWidth="1"/>
    <col min="15367" max="15367" width="28.5703125" style="59" customWidth="1"/>
    <col min="15368" max="15368" width="27.7109375" style="59" customWidth="1"/>
    <col min="15369" max="15377" width="25.7109375" style="59" customWidth="1"/>
    <col min="15378" max="15378" width="29.7109375" style="59" customWidth="1"/>
    <col min="15379" max="15379" width="25.7109375" style="59" customWidth="1"/>
    <col min="15380" max="15380" width="44.7109375" style="59" customWidth="1"/>
    <col min="15381" max="15381" width="25.7109375" style="59" customWidth="1"/>
    <col min="15382" max="15382" width="32.140625" style="59" customWidth="1"/>
    <col min="15383" max="15383" width="38.28515625" style="59" customWidth="1"/>
    <col min="15384" max="15384" width="32.7109375" style="59" customWidth="1"/>
    <col min="15385" max="15385" width="61" style="59" customWidth="1"/>
    <col min="15386" max="15386" width="25.7109375" style="59" customWidth="1"/>
    <col min="15387" max="15387" width="206.85546875" style="59" customWidth="1"/>
    <col min="15388" max="15388" width="71.140625" style="59" customWidth="1"/>
    <col min="15389" max="15389" width="13.5703125" style="59" customWidth="1"/>
    <col min="15390" max="15616" width="9.140625" style="59"/>
    <col min="15617" max="15617" width="155.28515625" style="59" customWidth="1"/>
    <col min="15618" max="15619" width="29.85546875" style="59" customWidth="1"/>
    <col min="15620" max="15620" width="26.7109375" style="59" customWidth="1"/>
    <col min="15621" max="15621" width="26.5703125" style="59" customWidth="1"/>
    <col min="15622" max="15622" width="25.7109375" style="59" customWidth="1"/>
    <col min="15623" max="15623" width="28.5703125" style="59" customWidth="1"/>
    <col min="15624" max="15624" width="27.7109375" style="59" customWidth="1"/>
    <col min="15625" max="15633" width="25.7109375" style="59" customWidth="1"/>
    <col min="15634" max="15634" width="29.7109375" style="59" customWidth="1"/>
    <col min="15635" max="15635" width="25.7109375" style="59" customWidth="1"/>
    <col min="15636" max="15636" width="44.7109375" style="59" customWidth="1"/>
    <col min="15637" max="15637" width="25.7109375" style="59" customWidth="1"/>
    <col min="15638" max="15638" width="32.140625" style="59" customWidth="1"/>
    <col min="15639" max="15639" width="38.28515625" style="59" customWidth="1"/>
    <col min="15640" max="15640" width="32.7109375" style="59" customWidth="1"/>
    <col min="15641" max="15641" width="61" style="59" customWidth="1"/>
    <col min="15642" max="15642" width="25.7109375" style="59" customWidth="1"/>
    <col min="15643" max="15643" width="206.85546875" style="59" customWidth="1"/>
    <col min="15644" max="15644" width="71.140625" style="59" customWidth="1"/>
    <col min="15645" max="15645" width="13.5703125" style="59" customWidth="1"/>
    <col min="15646" max="15872" width="9.140625" style="59"/>
    <col min="15873" max="15873" width="155.28515625" style="59" customWidth="1"/>
    <col min="15874" max="15875" width="29.85546875" style="59" customWidth="1"/>
    <col min="15876" max="15876" width="26.7109375" style="59" customWidth="1"/>
    <col min="15877" max="15877" width="26.5703125" style="59" customWidth="1"/>
    <col min="15878" max="15878" width="25.7109375" style="59" customWidth="1"/>
    <col min="15879" max="15879" width="28.5703125" style="59" customWidth="1"/>
    <col min="15880" max="15880" width="27.7109375" style="59" customWidth="1"/>
    <col min="15881" max="15889" width="25.7109375" style="59" customWidth="1"/>
    <col min="15890" max="15890" width="29.7109375" style="59" customWidth="1"/>
    <col min="15891" max="15891" width="25.7109375" style="59" customWidth="1"/>
    <col min="15892" max="15892" width="44.7109375" style="59" customWidth="1"/>
    <col min="15893" max="15893" width="25.7109375" style="59" customWidth="1"/>
    <col min="15894" max="15894" width="32.140625" style="59" customWidth="1"/>
    <col min="15895" max="15895" width="38.28515625" style="59" customWidth="1"/>
    <col min="15896" max="15896" width="32.7109375" style="59" customWidth="1"/>
    <col min="15897" max="15897" width="61" style="59" customWidth="1"/>
    <col min="15898" max="15898" width="25.7109375" style="59" customWidth="1"/>
    <col min="15899" max="15899" width="206.85546875" style="59" customWidth="1"/>
    <col min="15900" max="15900" width="71.140625" style="59" customWidth="1"/>
    <col min="15901" max="15901" width="13.5703125" style="59" customWidth="1"/>
    <col min="15902" max="16128" width="9.140625" style="59"/>
    <col min="16129" max="16129" width="155.28515625" style="59" customWidth="1"/>
    <col min="16130" max="16131" width="29.85546875" style="59" customWidth="1"/>
    <col min="16132" max="16132" width="26.7109375" style="59" customWidth="1"/>
    <col min="16133" max="16133" width="26.5703125" style="59" customWidth="1"/>
    <col min="16134" max="16134" width="25.7109375" style="59" customWidth="1"/>
    <col min="16135" max="16135" width="28.5703125" style="59" customWidth="1"/>
    <col min="16136" max="16136" width="27.7109375" style="59" customWidth="1"/>
    <col min="16137" max="16145" width="25.7109375" style="59" customWidth="1"/>
    <col min="16146" max="16146" width="29.7109375" style="59" customWidth="1"/>
    <col min="16147" max="16147" width="25.7109375" style="59" customWidth="1"/>
    <col min="16148" max="16148" width="44.7109375" style="59" customWidth="1"/>
    <col min="16149" max="16149" width="25.7109375" style="59" customWidth="1"/>
    <col min="16150" max="16150" width="32.140625" style="59" customWidth="1"/>
    <col min="16151" max="16151" width="38.28515625" style="59" customWidth="1"/>
    <col min="16152" max="16152" width="32.7109375" style="59" customWidth="1"/>
    <col min="16153" max="16153" width="61" style="59" customWidth="1"/>
    <col min="16154" max="16154" width="25.7109375" style="59" customWidth="1"/>
    <col min="16155" max="16155" width="206.85546875" style="59" customWidth="1"/>
    <col min="16156" max="16156" width="71.140625" style="59" customWidth="1"/>
    <col min="16157" max="16157" width="13.5703125" style="59" customWidth="1"/>
    <col min="16158" max="16384" width="9.140625" style="59"/>
  </cols>
  <sheetData>
    <row r="1" spans="1:9" x14ac:dyDescent="0.2">
      <c r="A1" s="58" t="s">
        <v>101</v>
      </c>
      <c r="D1" s="60"/>
    </row>
    <row r="2" spans="1:9" x14ac:dyDescent="0.2">
      <c r="A2" s="61">
        <v>1</v>
      </c>
      <c r="B2" s="91" t="s">
        <v>276</v>
      </c>
      <c r="C2" s="91"/>
      <c r="D2" s="91"/>
      <c r="E2" s="91"/>
      <c r="F2" s="91"/>
      <c r="G2" s="92"/>
      <c r="I2" s="58"/>
    </row>
    <row r="3" spans="1:9" x14ac:dyDescent="0.2">
      <c r="A3" s="61">
        <v>2</v>
      </c>
      <c r="B3" s="91" t="s">
        <v>275</v>
      </c>
      <c r="C3" s="91"/>
      <c r="D3" s="91"/>
      <c r="E3" s="91"/>
      <c r="F3" s="91"/>
      <c r="G3" s="92"/>
      <c r="I3" s="58"/>
    </row>
    <row r="4" spans="1:9" x14ac:dyDescent="0.2">
      <c r="A4" s="61">
        <v>3</v>
      </c>
      <c r="B4" s="91" t="s">
        <v>277</v>
      </c>
      <c r="C4" s="91"/>
      <c r="D4" s="91"/>
      <c r="E4" s="91"/>
      <c r="F4" s="91"/>
      <c r="G4" s="92"/>
      <c r="I4" s="58"/>
    </row>
    <row r="5" spans="1:9" x14ac:dyDescent="0.2">
      <c r="A5" s="61"/>
      <c r="G5" s="58"/>
      <c r="I5" s="58"/>
    </row>
    <row r="6" spans="1:9" x14ac:dyDescent="0.2">
      <c r="A6" s="61"/>
      <c r="C6" s="58"/>
    </row>
    <row r="7" spans="1:9" x14ac:dyDescent="0.2">
      <c r="A7" s="62"/>
      <c r="B7" s="63"/>
      <c r="C7" s="63" t="str">
        <f>'Proj.gegevens_invest.begroting'!C8</f>
        <v>Elektrolyser met aansluiting gekoppeld aan het elektriciteitsnet</v>
      </c>
    </row>
    <row r="8" spans="1:9" ht="12.75" customHeight="1" x14ac:dyDescent="0.2">
      <c r="B8" s="5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0D04F7A1BCF3448FEFFFAAD131276E" ma:contentTypeVersion="13" ma:contentTypeDescription="Een nieuw document maken." ma:contentTypeScope="" ma:versionID="fb9bc5fcb08937bc994ea0b13af295f5">
  <xsd:schema xmlns:xsd="http://www.w3.org/2001/XMLSchema" xmlns:xs="http://www.w3.org/2001/XMLSchema" xmlns:p="http://schemas.microsoft.com/office/2006/metadata/properties" xmlns:ns2="14fdbc8b-21cd-41d9-a0d9-e5404f527eeb" xmlns:ns3="96621ed8-4f40-464f-b357-fd6891ef9984" targetNamespace="http://schemas.microsoft.com/office/2006/metadata/properties" ma:root="true" ma:fieldsID="81e3e65fa278dca1cd4e242a358bc132" ns2:_="" ns3:_="">
    <xsd:import namespace="14fdbc8b-21cd-41d9-a0d9-e5404f527eeb"/>
    <xsd:import namespace="96621ed8-4f40-464f-b357-fd6891ef998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fdbc8b-21cd-41d9-a0d9-e5404f527e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50003867-e375-437d-8008-d2fa13c8bfc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621ed8-4f40-464f-b357-fd6891ef9984"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B9C2DF-DE3F-4073-9BA4-1FDEDD2854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fdbc8b-21cd-41d9-a0d9-e5404f527eeb"/>
    <ds:schemaRef ds:uri="96621ed8-4f40-464f-b357-fd6891ef99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D9950F-FA3F-4B28-8D97-EB738002F730}">
  <ds:schemaRefs>
    <ds:schemaRef ds:uri="http://schemas.microsoft.com/sharepoint/v3/contenttype/forms"/>
  </ds:schemaRefs>
</ds:datastoreItem>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4</vt:i4>
      </vt:variant>
    </vt:vector>
  </HeadingPairs>
  <TitlesOfParts>
    <vt:vector size="15" baseType="lpstr">
      <vt:lpstr>Toelichting Investeringsdeel</vt:lpstr>
      <vt:lpstr>Proj.gegevens_invest.begroting</vt:lpstr>
      <vt:lpstr>Mijlpalenbegroting</vt:lpstr>
      <vt:lpstr>Toelichting Exploitatiedeel</vt:lpstr>
      <vt:lpstr>Financieringsplan</vt:lpstr>
      <vt:lpstr>Productie_en_afzet</vt:lpstr>
      <vt:lpstr>Exploitatieberekening</vt:lpstr>
      <vt:lpstr>Overzicht bijlagen</vt:lpstr>
      <vt:lpstr>Hulpblad_categorieën_parameters</vt:lpstr>
      <vt:lpstr>Hulpblad_overig</vt:lpstr>
      <vt:lpstr>Alternat.rendementsberekening</vt:lpstr>
      <vt:lpstr>Mijlpalenbegroting!Afdrukbereik</vt:lpstr>
      <vt:lpstr>Proj.gegevens_invest.begroting!Afdrukbereik</vt:lpstr>
      <vt:lpstr>'Toelichting Investeringsdeel'!Afdrukbereik</vt:lpstr>
      <vt:lpstr>Soort_bedrijf</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 Hoekstra</dc:creator>
  <cp:lastModifiedBy>Rinsma, ing. G.R. (Gerhard)</cp:lastModifiedBy>
  <dcterms:created xsi:type="dcterms:W3CDTF">2022-04-26T18:18:30Z</dcterms:created>
  <dcterms:modified xsi:type="dcterms:W3CDTF">2023-11-15T11:07:52Z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2023-01-03T14:13:09Z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b004e1d6-8659-4025-980c-332c91acd686</vt:lpwstr>
  </property>
  <property fmtid="{D5CDD505-2E9C-101B-9397-08002B2CF9AE}" pid="8" name="MSIP_Label_4bde8109-f994-4a60-a1d3-5c95e2ff3620_ContentBits">
    <vt:lpwstr>0</vt:lpwstr>
  </property>
</Properties>
</file>